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0980" tabRatio="876" activeTab="7"/>
  </bookViews>
  <sheets>
    <sheet name="баланс вс" sheetId="1" r:id="rId1"/>
    <sheet name="баланс во" sheetId="2" r:id="rId2"/>
    <sheet name="водоснабжение " sheetId="3" r:id="rId3"/>
    <sheet name="водоотведение" sheetId="4" r:id="rId4"/>
    <sheet name="цеховые затраты  (2)" sheetId="5" r:id="rId5"/>
    <sheet name="ОХР" sheetId="6" r:id="rId6"/>
    <sheet name="ФОТ основных" sheetId="7" r:id="rId7"/>
    <sheet name="ФОТ АУП" sheetId="8" r:id="rId8"/>
    <sheet name="ФОТ цеховые" sheetId="9" r:id="rId9"/>
    <sheet name="Кострома план " sheetId="10" r:id="rId10"/>
    <sheet name="прибыль" sheetId="11" r:id="rId11"/>
    <sheet name="прочие прямые" sheetId="12" r:id="rId12"/>
    <sheet name="амортизация" sheetId="13" r:id="rId13"/>
    <sheet name="имуществ.комплекс" sheetId="14" r:id="rId14"/>
    <sheet name="электроэнергия" sheetId="15" r:id="rId15"/>
    <sheet name="ремонты" sheetId="16" r:id="rId16"/>
  </sheets>
  <externalReferences>
    <externalReference r:id="rId19"/>
    <externalReference r:id="rId20"/>
    <externalReference r:id="rId21"/>
  </externalReferences>
  <definedNames>
    <definedName name="CALC_IDENTIFIER" localSheetId="9">'[2]TECHSHEET'!$E$20</definedName>
    <definedName name="CALC_IDENTIFIER">'[1]TECHSHEET'!$E$20</definedName>
    <definedName name="Excel_BuiltIn_Print_Area" localSheetId="1">'баланс во'!$A$1:$J$40</definedName>
    <definedName name="Excel_BuiltIn_Print_Area" localSheetId="0">'баланс вс'!$A$1:$L$81</definedName>
    <definedName name="mo" localSheetId="9">'[2]Список организаций'!$J$7</definedName>
    <definedName name="mo">'[1]Список организаций'!$J$7</definedName>
    <definedName name="SHARED_FORMULA_10_11_10_11_0">#REF!+#REF!</definedName>
    <definedName name="SHARED_FORMULA_10_12_10_12_0">#REF!/10.85/29.4*35</definedName>
    <definedName name="SHARED_FORMULA_10_12_10_12_12">NA()</definedName>
    <definedName name="SHARED_FORMULA_10_13_10_13_0">#REF!+#REF!</definedName>
    <definedName name="SHARED_FORMULA_10_20_10_20_12">NA()</definedName>
    <definedName name="SHARED_FORMULA_10_27_10_27_12">NA()</definedName>
    <definedName name="SHARED_FORMULA_10_29_10_29_0">SUM(#REF!)</definedName>
    <definedName name="SHARED_FORMULA_15_37_15_37_0">#REF!/11/29.4*28</definedName>
    <definedName name="SHARED_FORMULA_19_19_19_19_0">#REF!*0.75</definedName>
    <definedName name="SHARED_FORMULA_19_3_19_3_0">#REF!*0.75</definedName>
    <definedName name="SHARED_FORMULA_21_20_21_20_0">SUM(#REF!)</definedName>
    <definedName name="SHARED_FORMULA_22_19_22_19_0">#REF!/#REF!/12</definedName>
    <definedName name="SHARED_FORMULA_22_4_22_4_0">#REF!/#REF!/12</definedName>
    <definedName name="SHARED_FORMULA_9_15_9_15_0">#REF!+#REF!+#REF!</definedName>
    <definedName name="SHARED_FORMULA_9_38_9_38_0">#REF!+#REF!+#REF!</definedName>
    <definedName name="SHARED_FORMULA_9_9_9_9_0">SUM(#REF!)</definedName>
    <definedName name="TARIFF_SETUP_METHOD_CODE" localSheetId="9">'[2]TECHSHEET'!$E$44</definedName>
    <definedName name="TARIFF_SETUP_METHOD_CODE">'[1]TECHSHEET'!$E$44</definedName>
    <definedName name="TEMPLATE_SPHERE" localSheetId="9">'[2]TECHSHEET'!$E$6</definedName>
    <definedName name="TEMPLATE_SPHERE">'[1]TECHSHEET'!$E$6</definedName>
    <definedName name="_xlnm.Print_Titles" localSheetId="1">'баланс во'!$6:$8</definedName>
    <definedName name="_xlnm.Print_Titles" localSheetId="0">'баланс вс'!$5:$7</definedName>
    <definedName name="_xlnm.Print_Titles" localSheetId="3">'водоотведение'!$A:$A,'водоотведение'!$1:$1</definedName>
    <definedName name="_xlnm.Print_Titles" localSheetId="2">'водоснабжение '!$A:$A,'водоснабжение '!$1:$1</definedName>
    <definedName name="_xlnm.Print_Titles" localSheetId="5">'ОХР'!$2:$2</definedName>
    <definedName name="_xlnm.Print_Titles" localSheetId="4">'цеховые затраты  (2)'!$2:$2</definedName>
    <definedName name="_xlnm.Print_Area" localSheetId="12">'амортизация'!$A$1:$Q$544</definedName>
    <definedName name="_xlnm.Print_Area" localSheetId="1">'баланс во'!$A$1:$O$43</definedName>
    <definedName name="_xlnm.Print_Area" localSheetId="0">'баланс вс'!$A$1:$N$85</definedName>
    <definedName name="_xlnm.Print_Area" localSheetId="2">'водоснабжение '!$A$1:$X$126</definedName>
    <definedName name="_xlnm.Print_Area" localSheetId="9">'Кострома план '!$A$1:$N$38</definedName>
    <definedName name="_xlnm.Print_Area" localSheetId="5">'ОХР'!$A$1:$I$54</definedName>
    <definedName name="_xlnm.Print_Area" localSheetId="10">'прибыль'!$A$1:$K$56</definedName>
    <definedName name="_xlnm.Print_Area" localSheetId="11">'прочие прямые'!$A$1:$H$17</definedName>
    <definedName name="_xlnm.Print_Area" localSheetId="7">'ФОТ АУП'!$A$1:$Q$37</definedName>
    <definedName name="_xlnm.Print_Area" localSheetId="6">'ФОТ основных'!$A$1:$W$40</definedName>
    <definedName name="_xlnm.Print_Area" localSheetId="8">'ФОТ цеховые'!$A$1:$W$110</definedName>
    <definedName name="_xlnm.Print_Area" localSheetId="4">'цеховые затраты  (2)'!$A$1:$H$123</definedName>
    <definedName name="_xlnm.Print_Area" localSheetId="14">'электроэнергия'!$A$1:$N$56</definedName>
  </definedNames>
  <calcPr fullCalcOnLoad="1"/>
</workbook>
</file>

<file path=xl/comments11.xml><?xml version="1.0" encoding="utf-8"?>
<comments xmlns="http://schemas.openxmlformats.org/spreadsheetml/2006/main">
  <authors>
    <author>karyagina_e</author>
    <author/>
    <author>bleskina_o</author>
  </authors>
  <commentList>
    <comment ref="L19" authorId="0">
      <text>
        <r>
          <rPr>
            <b/>
            <sz val="8"/>
            <rFont val="Tahoma"/>
            <family val="2"/>
          </rPr>
          <t>karyagina_e:</t>
        </r>
        <r>
          <rPr>
            <sz val="8"/>
            <rFont val="Tahoma"/>
            <family val="2"/>
          </rPr>
          <t xml:space="preserve">
См. по сч. 63 расходы по сомнительным долгам сальдо на конец периода по Кт</t>
        </r>
      </text>
    </comment>
    <comment ref="D39" authorId="1">
      <text>
        <r>
          <rPr>
            <sz val="8"/>
            <rFont val="Arial"/>
            <family val="2"/>
          </rPr>
          <t xml:space="preserve">Среднегодовая дебиторская
</t>
        </r>
      </text>
    </comment>
    <comment ref="E39" authorId="1">
      <text>
        <r>
          <rPr>
            <sz val="8"/>
            <rFont val="Arial"/>
            <family val="2"/>
          </rPr>
          <t xml:space="preserve">Дебиторская первый квартал  2015, пропорционально выручке </t>
        </r>
      </text>
    </comment>
    <comment ref="M41" authorId="2">
      <text>
        <r>
          <rPr>
            <b/>
            <sz val="9"/>
            <rFont val="Tahoma"/>
            <family val="2"/>
          </rPr>
          <t>bleskina_o:</t>
        </r>
        <r>
          <rPr>
            <sz val="9"/>
            <rFont val="Tahoma"/>
            <family val="2"/>
          </rPr>
          <t xml:space="preserve">
среднегодовая 2016 д.з.</t>
        </r>
      </text>
    </comment>
    <comment ref="N18" authorId="2">
      <text>
        <r>
          <rPr>
            <b/>
            <sz val="9"/>
            <rFont val="Tahoma"/>
            <family val="2"/>
          </rPr>
          <t>bleskina_o:</t>
        </r>
        <r>
          <rPr>
            <sz val="9"/>
            <rFont val="Tahoma"/>
            <family val="2"/>
          </rPr>
          <t xml:space="preserve">
63
расход по сомнительным долгам</t>
        </r>
      </text>
    </comment>
  </commentList>
</comments>
</file>

<file path=xl/comments14.xml><?xml version="1.0" encoding="utf-8"?>
<comments xmlns="http://schemas.openxmlformats.org/spreadsheetml/2006/main">
  <authors>
    <author>bleskina_o</author>
  </authors>
  <commentList>
    <comment ref="A31" authorId="0">
      <text>
        <r>
          <rPr>
            <b/>
            <sz val="9"/>
            <rFont val="Tahoma"/>
            <family val="2"/>
          </rPr>
          <t>bleskina_o:</t>
        </r>
        <r>
          <rPr>
            <sz val="9"/>
            <rFont val="Tahoma"/>
            <family val="2"/>
          </rPr>
          <t xml:space="preserve">
учитывает группу</t>
        </r>
      </text>
    </comment>
  </commentList>
</comments>
</file>

<file path=xl/comments3.xml><?xml version="1.0" encoding="utf-8"?>
<comments xmlns="http://schemas.openxmlformats.org/spreadsheetml/2006/main">
  <authors>
    <author>orehova_i</author>
    <author>Admin</author>
    <author>FSTN4</author>
    <author>bleskina_o</author>
  </authors>
  <commentList>
    <comment ref="C101" authorId="0">
      <text>
        <r>
          <rPr>
            <b/>
            <sz val="9"/>
            <rFont val="Tahoma"/>
            <family val="2"/>
          </rPr>
          <t>orehova_i:</t>
        </r>
        <r>
          <rPr>
            <sz val="9"/>
            <rFont val="Tahoma"/>
            <family val="2"/>
          </rPr>
          <t xml:space="preserve">
плата за пользование водным объектом</t>
        </r>
      </text>
    </comment>
    <comment ref="D98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аренда земли</t>
        </r>
      </text>
    </comment>
    <comment ref="G26" authorId="2">
      <text>
        <r>
          <rPr>
            <b/>
            <sz val="9"/>
            <rFont val="Tahoma"/>
            <family val="2"/>
          </rPr>
          <t>FSTN4:</t>
        </r>
        <r>
          <rPr>
            <sz val="9"/>
            <rFont val="Tahoma"/>
            <family val="2"/>
          </rPr>
          <t xml:space="preserve">
за вычетом вознаграждения по итогам года</t>
        </r>
      </text>
    </comment>
    <comment ref="I26" authorId="2">
      <text>
        <r>
          <rPr>
            <b/>
            <sz val="9"/>
            <rFont val="Tahoma"/>
            <family val="2"/>
          </rPr>
          <t>FSTN4:</t>
        </r>
        <r>
          <rPr>
            <sz val="9"/>
            <rFont val="Tahoma"/>
            <family val="2"/>
          </rPr>
          <t xml:space="preserve">
индекс 1,048</t>
        </r>
      </text>
    </comment>
    <comment ref="G21" authorId="2">
      <text>
        <r>
          <rPr>
            <b/>
            <sz val="9"/>
            <rFont val="Tahoma"/>
            <family val="2"/>
          </rPr>
          <t>FSTN4: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по предложению предприятия 4345,84 за вычетом АмОтч.</t>
        </r>
      </text>
    </comment>
    <comment ref="K20" authorId="2">
      <text>
        <r>
          <rPr>
            <b/>
            <sz val="9"/>
            <rFont val="Tahoma"/>
            <family val="2"/>
          </rPr>
          <t>FSTN4:</t>
        </r>
        <r>
          <rPr>
            <sz val="9"/>
            <rFont val="Tahoma"/>
            <family val="2"/>
          </rPr>
          <t xml:space="preserve">
по удельным расходам 2014 г. с индексацией 1,041
</t>
        </r>
      </text>
    </comment>
    <comment ref="O101" authorId="3">
      <text>
        <r>
          <rPr>
            <b/>
            <sz val="9"/>
            <rFont val="Tahoma"/>
            <family val="2"/>
          </rPr>
          <t>bleskina_o: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Дополнительное соглашение № 16 к договору водопользования 04/16 (2011) от 18.03.2015 с учетом увеличения ставок</t>
        </r>
      </text>
    </comment>
    <comment ref="O82" authorId="3">
      <text>
        <r>
          <rPr>
            <b/>
            <sz val="9"/>
            <rFont val="Tahoma"/>
            <family val="2"/>
          </rPr>
          <t>bleskina_o:</t>
        </r>
        <r>
          <rPr>
            <sz val="9"/>
            <rFont val="Tahoma"/>
            <family val="2"/>
          </rPr>
          <t xml:space="preserve">
РАСЧЕТ ЛИСТ ЭЛЕКТРОЭНЕРГИЯ</t>
        </r>
      </text>
    </comment>
    <comment ref="O20" authorId="3">
      <text>
        <r>
          <rPr>
            <b/>
            <sz val="9"/>
            <rFont val="Tahoma"/>
            <family val="2"/>
          </rPr>
          <t>bleskina_o:</t>
        </r>
        <r>
          <rPr>
            <sz val="9"/>
            <rFont val="Tahoma"/>
            <family val="2"/>
          </rPr>
          <t xml:space="preserve">
Материалы по лаборатории СВХ (потребнобность в соответ. с объемами начальник СВХ)</t>
        </r>
      </text>
    </comment>
    <comment ref="O92" authorId="3">
      <text>
        <r>
          <rPr>
            <b/>
            <sz val="9"/>
            <rFont val="Tahoma"/>
            <family val="2"/>
          </rPr>
          <t>bleskina_o:</t>
        </r>
        <r>
          <rPr>
            <sz val="9"/>
            <rFont val="Tahoma"/>
            <family val="2"/>
          </rPr>
          <t xml:space="preserve">
расчет "имущественный комплекс"</t>
        </r>
      </text>
    </comment>
    <comment ref="O33" authorId="3">
      <text>
        <r>
          <rPr>
            <b/>
            <sz val="9"/>
            <rFont val="Tahoma"/>
            <family val="2"/>
          </rPr>
          <t>bleskina_o:</t>
        </r>
        <r>
          <rPr>
            <sz val="9"/>
            <rFont val="Tahoma"/>
            <family val="2"/>
          </rPr>
          <t xml:space="preserve">
расшифровка  ФОТ основных (индивидуальный расчет по участкам ФОТ цеховые</t>
        </r>
      </text>
    </comment>
    <comment ref="O54" authorId="3">
      <text>
        <r>
          <rPr>
            <b/>
            <sz val="9"/>
            <rFont val="Tahoma"/>
            <family val="2"/>
          </rPr>
          <t>bleskina_o:</t>
        </r>
        <r>
          <rPr>
            <sz val="9"/>
            <rFont val="Tahoma"/>
            <family val="2"/>
          </rPr>
          <t xml:space="preserve">
Кострома план (распределяется между представительствами пропорционально оплате труда основных рабочих)
</t>
        </r>
      </text>
    </comment>
    <comment ref="J21" authorId="3">
      <text>
        <r>
          <rPr>
            <b/>
            <sz val="9"/>
            <rFont val="Tahoma"/>
            <family val="2"/>
          </rPr>
          <t>bleskina_o:</t>
        </r>
        <r>
          <rPr>
            <sz val="9"/>
            <rFont val="Tahoma"/>
            <family val="2"/>
          </rPr>
          <t xml:space="preserve">
текущий ремонт объектов водоснабжения</t>
        </r>
      </text>
    </comment>
    <comment ref="O102" authorId="3">
      <text>
        <r>
          <rPr>
            <b/>
            <sz val="9"/>
            <rFont val="Tahoma"/>
            <family val="2"/>
          </rPr>
          <t>bleskina_o:</t>
        </r>
        <r>
          <rPr>
            <sz val="9"/>
            <rFont val="Tahoma"/>
            <family val="2"/>
          </rPr>
          <t xml:space="preserve">
услуги ЕИРКЦ</t>
        </r>
      </text>
    </comment>
    <comment ref="O73" authorId="3">
      <text>
        <r>
          <rPr>
            <b/>
            <sz val="9"/>
            <rFont val="Tahoma"/>
            <family val="2"/>
          </rPr>
          <t>bleskina_o:</t>
        </r>
        <r>
          <rPr>
            <sz val="9"/>
            <rFont val="Tahoma"/>
            <family val="2"/>
          </rPr>
          <t xml:space="preserve">
РАСШИФРОВКА НА ЛИСТЕ "ЦЕХОВЫЕ ЗАТРАТЫ"</t>
        </r>
      </text>
    </comment>
    <comment ref="O49" authorId="3">
      <text>
        <r>
          <rPr>
            <b/>
            <sz val="9"/>
            <rFont val="Tahoma"/>
            <family val="2"/>
          </rPr>
          <t>bleskina_o:</t>
        </r>
        <r>
          <rPr>
            <sz val="9"/>
            <rFont val="Tahoma"/>
            <family val="2"/>
          </rPr>
          <t xml:space="preserve">
расшифровка на листе ФОТ АУТ (сумма учитывает фонд по Костромским подразделениям)</t>
        </r>
      </text>
    </comment>
    <comment ref="O26" authorId="3">
      <text>
        <r>
          <rPr>
            <b/>
            <sz val="9"/>
            <rFont val="Tahoma"/>
            <family val="2"/>
          </rPr>
          <t>bleskina_o:</t>
        </r>
        <r>
          <rPr>
            <sz val="9"/>
            <rFont val="Tahoma"/>
            <family val="2"/>
          </rPr>
          <t xml:space="preserve">
расшифровка на листе ФОТ основных</t>
        </r>
      </text>
    </comment>
    <comment ref="O24" authorId="3">
      <text>
        <r>
          <rPr>
            <b/>
            <sz val="9"/>
            <rFont val="Tahoma"/>
            <family val="2"/>
          </rPr>
          <t>bleskina_o:</t>
        </r>
        <r>
          <rPr>
            <sz val="9"/>
            <rFont val="Tahoma"/>
            <family val="2"/>
          </rPr>
          <t xml:space="preserve">
Производственная программа</t>
        </r>
      </text>
    </comment>
  </commentList>
</comments>
</file>

<file path=xl/comments4.xml><?xml version="1.0" encoding="utf-8"?>
<comments xmlns="http://schemas.openxmlformats.org/spreadsheetml/2006/main">
  <authors>
    <author>FSTN4</author>
  </authors>
  <commentList>
    <comment ref="F22" authorId="0">
      <text>
        <r>
          <rPr>
            <b/>
            <sz val="9"/>
            <rFont val="Tahoma"/>
            <family val="2"/>
          </rPr>
          <t>FSTN4:</t>
        </r>
        <r>
          <rPr>
            <sz val="9"/>
            <rFont val="Tahoma"/>
            <family val="2"/>
          </rPr>
          <t xml:space="preserve">
по фактической численности</t>
        </r>
      </text>
    </comment>
    <comment ref="F55" authorId="0">
      <text>
        <r>
          <rPr>
            <b/>
            <sz val="9"/>
            <rFont val="Tahoma"/>
            <family val="2"/>
          </rPr>
          <t>FSTN4:</t>
        </r>
        <r>
          <rPr>
            <sz val="9"/>
            <rFont val="Tahoma"/>
            <family val="2"/>
          </rPr>
          <t xml:space="preserve">
факт2012 г. х на ИПЦ</t>
        </r>
      </text>
    </comment>
    <comment ref="F56" authorId="0">
      <text>
        <r>
          <rPr>
            <b/>
            <sz val="9"/>
            <rFont val="Tahoma"/>
            <family val="2"/>
          </rPr>
          <t>FSTN4:</t>
        </r>
        <r>
          <rPr>
            <sz val="9"/>
            <rFont val="Tahoma"/>
            <family val="2"/>
          </rPr>
          <t xml:space="preserve">
по предложению предприятия</t>
        </r>
      </text>
    </comment>
    <comment ref="F57" authorId="0">
      <text>
        <r>
          <rPr>
            <b/>
            <sz val="9"/>
            <rFont val="Tahoma"/>
            <family val="2"/>
          </rPr>
          <t>FSTN4:</t>
        </r>
        <r>
          <rPr>
            <sz val="9"/>
            <rFont val="Tahoma"/>
            <family val="2"/>
          </rPr>
          <t xml:space="preserve">
по предложению предприятия</t>
        </r>
      </text>
    </comment>
    <comment ref="F18" authorId="0">
      <text>
        <r>
          <rPr>
            <b/>
            <sz val="9"/>
            <rFont val="Tahoma"/>
            <family val="2"/>
          </rPr>
          <t>FSTN4:</t>
        </r>
        <r>
          <rPr>
            <sz val="9"/>
            <rFont val="Tahoma"/>
            <family val="2"/>
          </rPr>
          <t xml:space="preserve">
за счет амортизации</t>
        </r>
      </text>
    </comment>
    <comment ref="F65" authorId="0">
      <text>
        <r>
          <rPr>
            <b/>
            <sz val="9"/>
            <rFont val="Tahoma"/>
            <family val="2"/>
          </rPr>
          <t>FSTN4:</t>
        </r>
        <r>
          <rPr>
            <sz val="9"/>
            <rFont val="Tahoma"/>
            <family val="2"/>
          </rPr>
          <t xml:space="preserve">
по факту 2013 г. с индексацией 4,8%
</t>
        </r>
      </text>
    </comment>
    <comment ref="H17" authorId="0">
      <text>
        <r>
          <rPr>
            <b/>
            <sz val="9"/>
            <rFont val="Tahoma"/>
            <family val="2"/>
          </rPr>
          <t>FSTN4:</t>
        </r>
        <r>
          <rPr>
            <sz val="9"/>
            <rFont val="Tahoma"/>
            <family val="2"/>
          </rPr>
          <t xml:space="preserve">
по удельным расходам
с индексацией 1,041
</t>
        </r>
      </text>
    </comment>
  </commentList>
</comments>
</file>

<file path=xl/comments5.xml><?xml version="1.0" encoding="utf-8"?>
<comments xmlns="http://schemas.openxmlformats.org/spreadsheetml/2006/main">
  <authors>
    <author>FSTN4</author>
    <author>lobova_k</author>
    <author>bleskina_o</author>
  </authors>
  <commentList>
    <comment ref="C12" authorId="0">
      <text>
        <r>
          <rPr>
            <b/>
            <sz val="9"/>
            <rFont val="Tahoma"/>
            <family val="2"/>
          </rPr>
          <t>FSTN4:</t>
        </r>
        <r>
          <rPr>
            <sz val="9"/>
            <rFont val="Tahoma"/>
            <family val="2"/>
          </rPr>
          <t xml:space="preserve">
приведение к индексу роста тарифов</t>
        </r>
      </text>
    </comment>
    <comment ref="A25" authorId="1">
      <text>
        <r>
          <rPr>
            <b/>
            <sz val="9"/>
            <rFont val="Tahoma"/>
            <family val="2"/>
          </rPr>
          <t>lobova_k:</t>
        </r>
        <r>
          <rPr>
            <sz val="9"/>
            <rFont val="Tahoma"/>
            <family val="2"/>
          </rPr>
          <t xml:space="preserve">
Связь Центртелеком ,Ростелеком</t>
        </r>
      </text>
    </comment>
    <comment ref="G60" authorId="2">
      <text>
        <r>
          <rPr>
            <b/>
            <sz val="9"/>
            <rFont val="Tahoma"/>
            <family val="2"/>
          </rPr>
          <t>bleskina_o:</t>
        </r>
        <r>
          <rPr>
            <sz val="9"/>
            <rFont val="Tahoma"/>
            <family val="2"/>
          </rPr>
          <t xml:space="preserve">
транспортные услу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D4" authorId="0">
      <text>
        <r>
          <rPr>
            <b/>
            <sz val="9"/>
            <color indexed="8"/>
            <rFont val="Tahoma"/>
            <family val="2"/>
          </rPr>
          <t xml:space="preserve">orehova_i:
</t>
        </r>
        <r>
          <rPr>
            <sz val="9"/>
            <color indexed="8"/>
            <rFont val="Tahoma"/>
            <family val="2"/>
          </rPr>
          <t>1 в смену 12 часов</t>
        </r>
      </text>
    </comment>
    <comment ref="D8" authorId="0">
      <text>
        <r>
          <rPr>
            <b/>
            <sz val="9"/>
            <color indexed="8"/>
            <rFont val="Tahoma"/>
            <family val="2"/>
          </rPr>
          <t xml:space="preserve">orehova_i:
</t>
        </r>
        <r>
          <rPr>
            <sz val="9"/>
            <color indexed="8"/>
            <rFont val="Tahoma"/>
            <family val="2"/>
          </rPr>
          <t>1 в смену 12 часов</t>
        </r>
      </text>
    </comment>
    <comment ref="D9" authorId="0">
      <text>
        <r>
          <rPr>
            <b/>
            <sz val="9"/>
            <color indexed="8"/>
            <rFont val="Tahoma"/>
            <family val="2"/>
          </rPr>
          <t xml:space="preserve">orehova_i:
</t>
        </r>
        <r>
          <rPr>
            <sz val="9"/>
            <color indexed="8"/>
            <rFont val="Tahoma"/>
            <family val="2"/>
          </rPr>
          <t>1 в смену 12 часов</t>
        </r>
      </text>
    </comment>
    <comment ref="D20" authorId="0">
      <text>
        <r>
          <rPr>
            <b/>
            <sz val="9"/>
            <color indexed="8"/>
            <rFont val="Tahoma"/>
            <family val="2"/>
          </rPr>
          <t xml:space="preserve">orehova_i:
</t>
        </r>
        <r>
          <rPr>
            <sz val="9"/>
            <color indexed="8"/>
            <rFont val="Tahoma"/>
            <family val="2"/>
          </rPr>
          <t>1 в смену на 12 часов</t>
        </r>
      </text>
    </comment>
    <comment ref="D21" authorId="0">
      <text>
        <r>
          <rPr>
            <b/>
            <sz val="9"/>
            <color indexed="8"/>
            <rFont val="Tahoma"/>
            <family val="2"/>
          </rPr>
          <t xml:space="preserve">orehova_i:
</t>
        </r>
        <r>
          <rPr>
            <sz val="9"/>
            <color indexed="8"/>
            <rFont val="Tahoma"/>
            <family val="2"/>
          </rPr>
          <t>3 в сену на 12 часов</t>
        </r>
      </text>
    </comment>
    <comment ref="D25" authorId="0">
      <text>
        <r>
          <rPr>
            <b/>
            <sz val="9"/>
            <color indexed="8"/>
            <rFont val="Tahoma"/>
            <family val="2"/>
          </rPr>
          <t xml:space="preserve">orehova_i:
</t>
        </r>
        <r>
          <rPr>
            <sz val="9"/>
            <color indexed="8"/>
            <rFont val="Tahoma"/>
            <family val="2"/>
          </rPr>
          <t>1 по 12</t>
        </r>
      </text>
    </comment>
  </commentList>
</comments>
</file>

<file path=xl/comments9.xml><?xml version="1.0" encoding="utf-8"?>
<comments xmlns="http://schemas.openxmlformats.org/spreadsheetml/2006/main">
  <authors>
    <author>bleskina_o</author>
  </authors>
  <commentList>
    <comment ref="D44" authorId="0">
      <text>
        <r>
          <rPr>
            <b/>
            <sz val="9"/>
            <rFont val="Tahoma"/>
            <family val="2"/>
          </rPr>
          <t>bleskina_o:</t>
        </r>
        <r>
          <rPr>
            <sz val="9"/>
            <rFont val="Tahoma"/>
            <family val="2"/>
          </rPr>
          <t xml:space="preserve">
рез</t>
        </r>
      </text>
    </comment>
  </commentList>
</comments>
</file>

<file path=xl/sharedStrings.xml><?xml version="1.0" encoding="utf-8"?>
<sst xmlns="http://schemas.openxmlformats.org/spreadsheetml/2006/main" count="2432" uniqueCount="1419">
  <si>
    <t>Самотечный коллектор а/ц 300 мм.  231 п.м.ул.Дружбы (маг.№22) до КНС-32, 000000736, 01.03.2010</t>
  </si>
  <si>
    <t>Самотечный коллектор а/ц 300 мм.  652 п.м.ул.Лобанова-КНС-1(ОСК), 000000737, 01.03.2010</t>
  </si>
  <si>
    <t>Самотечный коллектор корпус модуля по ул.Нерехтская д.2 от колодца, в котором находится врезка д.3а , 000000738, 01.03.2010</t>
  </si>
  <si>
    <t>Сети канализации - ОСВ, 000000741, 01.03.2010</t>
  </si>
  <si>
    <t>Сети электроснабжения, 000000742, 01.03.2010</t>
  </si>
  <si>
    <t>Трубовоздуходувка многоступенчатая ТВ-801,6 0097_1, 000000747, 01.03.2010</t>
  </si>
  <si>
    <t>Турбокомпрессор ТВ 80-1,4М1-01 N 0370, 000000748, 01.03.2010</t>
  </si>
  <si>
    <t>Турбокомпрессор ТВ-80-1.4-01.УЗ N 0267, 000000749, 01.03.2010</t>
  </si>
  <si>
    <t>Газоанализатор ОКА-92МТ 02,СН4, СО 1.45.10.0950 N 0400, 000000951, 01.03.2010</t>
  </si>
  <si>
    <t>Датчик уровня РОС 301 Ф, 000000952, 01.03.2010</t>
  </si>
  <si>
    <t>Зонд гидростатического давления (датчик давления), 000000954, 01.03.2010</t>
  </si>
  <si>
    <t>Насос КМ 80-50-200 /для в/подкачки по ул.Ленина/ 0072_1, 000000972, 01.03.2010</t>
  </si>
  <si>
    <t>перечень предоставлен СВХ с учетом индекса</t>
  </si>
  <si>
    <t>Группа по обслуживанию водопроводных сетей Нерехтского представительства</t>
  </si>
  <si>
    <t>Очистка воды (Лаборатория ОСВ) Нерехтское представительство</t>
  </si>
  <si>
    <t>Транспортная служба Нерехтского представительства</t>
  </si>
  <si>
    <t>Управление Нерехта</t>
  </si>
  <si>
    <t>Очистка сточных вод (Лаборатория ОСК)</t>
  </si>
  <si>
    <t>Служба канализационного хозяйства Нерехтского представительства</t>
  </si>
  <si>
    <t>Транспортировка воды (ВС)</t>
  </si>
  <si>
    <t>Транспортировка воды (ВС) Нерехтское представительство</t>
  </si>
  <si>
    <t>Транспортировка сточных вод (КС)</t>
  </si>
  <si>
    <t>Транспортировка сточных вод (КС) Нерехтское представительство</t>
  </si>
  <si>
    <t>СКХ Нерехтского представительства цеховые расходы</t>
  </si>
  <si>
    <t>Подъем воды (НФС) Нерехтское представительсьтво</t>
  </si>
  <si>
    <t>Подъем воды (НФС)</t>
  </si>
  <si>
    <t>Перекачка сточных вод (КНС) Нерехтское представительство</t>
  </si>
  <si>
    <t>Очистная станция водопроводного хозяйства Нерехтского представительства</t>
  </si>
  <si>
    <t>Очистка сточных вод (лаборатория ОСК) Нерехтское представительство</t>
  </si>
  <si>
    <t>Очистка воды (Лаборатория ОСВ)</t>
  </si>
  <si>
    <t xml:space="preserve">% РАСПРЕДЕЛЕНИЯ </t>
  </si>
  <si>
    <t>ТРАНСПОРТНАЯ</t>
  </si>
  <si>
    <t>сумма по договору по подразделениям</t>
  </si>
  <si>
    <t>дог. с ОАО ВСК 02-3/309(2013) от 18.06.2013 (распределение страховой премии пропорционально балансовой стоимости имущества83 837тыс.руб. ), расчет с ростом на ИПЦ</t>
  </si>
  <si>
    <t>Группа по обслуживанию  сетей Нерехтского представительства</t>
  </si>
  <si>
    <t>Водопроводная сеть  240м, д/а 50мм , (г. Нерехта, ул. Чапаева от ул. Кр. Армии), 000001811, 01.03.2011</t>
  </si>
  <si>
    <t>Водопроводная сеть  885м, д/а 100мм , чугун (г. Нерехта, ул. Чернышевского от ул. Климушинской д.5 д, 000001812, 01.03.2011</t>
  </si>
  <si>
    <t>Водопроводная сеть  265м, д/а 150мм , чугун (г. Нерехта,  ул. Шагова), 000001813, 01.03.2011</t>
  </si>
  <si>
    <t>Водопроводная сеть  350м, д/а 50мм , (г. Нерехта,  ул. Школьная от ул. Ленина до ул. Кр. Армии), 000001814, 01.03.2011</t>
  </si>
  <si>
    <t>Водопроводная сеть  540м, д/а 50мм , (г. Нерехта,  ул. Шевченко от ул. Ломоносова), 000001815, 01.03.2011</t>
  </si>
  <si>
    <t>Водопроводная сеть  310м, д/а 50мм , (г. Нерехта,  ул. Энгельса), 000001816, 01.03.2011</t>
  </si>
  <si>
    <t>Водопроводная сеть  300м , (г. Нерехта,  ул. Энергетиков ), 000001817, 01.03.2011</t>
  </si>
  <si>
    <t>Водопроводная сеть  220м ,д/а 100мм, асбест,  (г. Нерехта,  ул. Южная от ул. Школьная до д. №22  ), 000001818, 01.03.2011</t>
  </si>
  <si>
    <t>Общеэксплуатационные расходы, в т.ч.:</t>
  </si>
  <si>
    <t>план 2015</t>
  </si>
  <si>
    <t>план 2016</t>
  </si>
  <si>
    <t xml:space="preserve">      Итого</t>
  </si>
  <si>
    <t>Начальник планово-экономического отдела:</t>
  </si>
  <si>
    <t xml:space="preserve">           Приложение 4.2</t>
  </si>
  <si>
    <t>Определение расходов на электроэнергию для водоотведения</t>
  </si>
  <si>
    <t>План на 2011  год (утверждено в  тарифе)</t>
  </si>
  <si>
    <t>Факт за 2011 год</t>
  </si>
  <si>
    <t>План на 2012  год (утверждено в  тарифе)</t>
  </si>
  <si>
    <t>План на 2013 год</t>
  </si>
  <si>
    <t>Объем потреб-ленной энергии (кВтч)</t>
  </si>
  <si>
    <t>регулируемая электроэнергия</t>
  </si>
  <si>
    <t>нерегулируемая электроэнергия</t>
  </si>
  <si>
    <t>Цеховые расходы, в т.ч.:</t>
  </si>
  <si>
    <t xml:space="preserve">      Итого, в т.ч.:</t>
  </si>
  <si>
    <t>предложения предприятия 2016</t>
  </si>
  <si>
    <t>расчет( с учетом роста на ИПЦ) в соответствии с приказом от 22.03.2012 № 38 «Об утверждении перечня профессий и должностей, дающих право на бесплатную выдачу специальной одежды, специальной обуви и других средств индивидуальной защиты».</t>
  </si>
  <si>
    <t>Резервуар емкостью 2000 м.куб., 000000733, 01.03.2010</t>
  </si>
  <si>
    <t>Резервуар емкостью 230 м.куб., 000000734, 01.03.2010</t>
  </si>
  <si>
    <t>Сети автоматики и сигнализации - ОСВ, 000000739, 01.03.2010</t>
  </si>
  <si>
    <t>Таль электрическая передвижная ТЭ-200 (2т/6м) N 0399, 000000744, 01.03.2010</t>
  </si>
  <si>
    <t>Теплотрасса - ОСВ--145 п.м., 000000745, 01.03.2010</t>
  </si>
  <si>
    <t>Фильтрующие оголовки, 000000750, 01.03.2010</t>
  </si>
  <si>
    <t>Фильтрующие оголовки, 000000751, 01.03.2010</t>
  </si>
  <si>
    <t>Фильтрующие оголовки, 000000752, 01.03.2010</t>
  </si>
  <si>
    <t>Фильтрующие оголовки, 000000753, 01.03.2010</t>
  </si>
  <si>
    <t>Хлораторная Монино, 000000756, 01.03.2010</t>
  </si>
  <si>
    <t>Электрические сети - ОСВ, 000000757, 01.03.2010</t>
  </si>
  <si>
    <t>Электролизная для производства гипохлорита нптрия на водоочистных сооружениях,в т.ч. СМР (скважина) , 000000758, 01.03.2010</t>
  </si>
  <si>
    <t>Насос CRT 2-2 (Электролизная ОСВ), 000000760, 01.03.2010</t>
  </si>
  <si>
    <t>Конденсаторная установка УКО-38-110 0057_1, 000000956, 01.03.2010</t>
  </si>
  <si>
    <t>КТП 0059_1, 000000962, 01.03.2010</t>
  </si>
  <si>
    <t>Насос 200 д-90 с электродвигателем 0061_1, 000000966, 01.03.2010</t>
  </si>
  <si>
    <t>Насос 280/72  А-СД 0062_1, 000000967, 01.03.2010</t>
  </si>
  <si>
    <t>Насос 280/72 А-СД 0063_1, 000000968, 01.03.2010</t>
  </si>
  <si>
    <t>Насос 280/724 с эл.двигателем 0064_1, 000000969, 01.03.2010</t>
  </si>
  <si>
    <t>Насос Д 320/50 с электродвигателем 0067_1, 000000970, 01.03.2010</t>
  </si>
  <si>
    <t>Насос Д 320/50 с электродвигателем 0068_1, 000000971, 01.03.2010</t>
  </si>
  <si>
    <t>Насос КМ-50-32-125,вес 47 кг.(НС-1 подъема, НС-2 подъема, ОСВ (Капремонт)-2шт., 000000973, 01.03.2010</t>
  </si>
  <si>
    <t>Автоклав ВК-30 N 0222, 000000599, 01.03.2010</t>
  </si>
  <si>
    <t>Анализатор "Флюорат 02 -3М" N 0226, 000000600, 01.03.2010</t>
  </si>
  <si>
    <t>Весы электронные аналитического типа ЛВ-210А,210гр. 0,1мг.,в т.ч. Госповерка,с калибровочной гирей, 000000607, 01.03.2010</t>
  </si>
  <si>
    <t>Термостат ТСО-1/80 СПУ (+5....+60С) 1.75.70.0090 N 0410, 000000746, 01.03.2010</t>
  </si>
  <si>
    <t>Фотоколориметр КФК 3 -01-лабораторный с функцией диалога с оператором,длина волны 250-990 нм, 000000754, 01.03.2010</t>
  </si>
  <si>
    <t>Фотоколориметр КФК 3 N 0354, 000000755, 01.03.2010</t>
  </si>
  <si>
    <t>ПВФ 47/3 Прибор вакуумного фильтрования 3-секционный под д. 35 мм N 0365, 000000990, 01.03.2010</t>
  </si>
  <si>
    <t>Прибор вакуумного фильтрования ПВФ 35. 500. 1 в комплекте с насосом  N 0416, 000000995, 01.03.2010</t>
  </si>
  <si>
    <t>Термостат АТ-1 N 0224, 000001016, 01.03.2010</t>
  </si>
  <si>
    <t>Водонагреватель Ariston SGHP 80 80л, 000000950, 01.03.2010</t>
  </si>
  <si>
    <t>Мойка по заказу, 000000964, 01.03.2010</t>
  </si>
  <si>
    <t>Облучатель ОБН-150 (ДБ-2*30,СБН-2*30 УХЛ-4)бактерицидный настенный 1.75.70.0012, 000000986, 01.03.2010</t>
  </si>
  <si>
    <t>Шкаф вытяжной №1, 000001025, 01.03.2010</t>
  </si>
  <si>
    <t>Шкаф вытяжной №2, 000001026, 01.03.2010</t>
  </si>
  <si>
    <t>Сушильный шкаф Снол 67/350, 000000743, 01.03.2010</t>
  </si>
  <si>
    <t>Электропечь СНОЛ 3/11 объем 3л 1150 гр.С,керамика, 000000759, 01.03.2010</t>
  </si>
  <si>
    <t>Аквадистиллятор ДЭ-10 (с полным комплектом ЗИПа) 1.75.05.0020 N 0392, 000000949, 01.03.2010</t>
  </si>
  <si>
    <t>Оксиметр АНИОН-4140 N 0362, 000000988, 01.03.2010</t>
  </si>
  <si>
    <t>Сенсор к прибору АНИОН-4140 N 0363, 000000999, 01.03.2010</t>
  </si>
  <si>
    <t>Стол химический, 000001010, 01.03.2010</t>
  </si>
  <si>
    <t>Стол химический-мойка, 000001011, 01.03.2010</t>
  </si>
  <si>
    <t>Термостат ТС-80 N 0225, 000001017, 01.03.2010</t>
  </si>
  <si>
    <t>Термостат ТС-80К N 0364, 000001018, 01.03.2010</t>
  </si>
  <si>
    <t>Шкаф сушильный (350С.350х350мм..2кВт.вент.)СНОЛ 3. 5, 3.5,3.5/3.5-И4М N 0337, 000001032, 01.03.2010</t>
  </si>
  <si>
    <t>Весы VIBRA HT-220 CE:220 г *0,0001 г,ф=80 мм с поверкой,калибровка внешняя, 000001705, 20.04.2011</t>
  </si>
  <si>
    <t>Спектрофотометр UNICO 2100, 000003864, 31.05.2013</t>
  </si>
  <si>
    <t>Центрифуга ОПН-8 с ротором РУ-180Л, 0004203, 05.09.2014</t>
  </si>
  <si>
    <t>Спектрофотометр UNICO-1201, 0004219, 16.10.2014</t>
  </si>
  <si>
    <t>Ei-Р7012-075Н 55кВт 380В,частотн.преобразователь, 000003000, 28.02.2012</t>
  </si>
  <si>
    <t>Насос СДВ 80/18 11 кВТ, 000001907, 26.10.2011</t>
  </si>
  <si>
    <t>Ei-7011-175Н 132кВт 380В,частотн.преобразователь, 000001900, 27.09.2011</t>
  </si>
  <si>
    <t>Насос СД 250/22,5 37 кВт, 000001889, 12.07.2011</t>
  </si>
  <si>
    <t>Насос СМ150-125-315/6 с дв.15,0/1000, 000001172, 02.02.2011</t>
  </si>
  <si>
    <t>Сеть для отвода промывных вод с насосом ГНОМ 140-10 в центральную канализационную сеть, 000003775, 31.12.2012</t>
  </si>
  <si>
    <t>Водонапорная насосная станция, насосный агрегат К 45/30а с электродвигателем 5,5 кВт, преобразовател, 0004199, 01.07.2014</t>
  </si>
  <si>
    <t>Насос К 150-125-315М 37кВт, 000001890, 11.07.2011</t>
  </si>
  <si>
    <t>Преобразователь частоты к насосному оборудованию "Веспер" EI-Р7012- 150Н, 000001892, 15.07.2011</t>
  </si>
  <si>
    <t>Рыбозащитное устройство (Инвестиционная программа 2011), 000003654, 31.03.2012</t>
  </si>
  <si>
    <t>Система видеонаблюдения, 000002849, 31.03.2012</t>
  </si>
  <si>
    <t>Концентратомер КН-ЗМ (комплектация №2) , 0004204, 25.07.2014</t>
  </si>
  <si>
    <t>Насосная станция 2 подьема Монино, 000000592, 01.03.2010</t>
  </si>
  <si>
    <t>Проходная Монино, 000000597, 01.03.2010</t>
  </si>
  <si>
    <t>Лаборатория Монино, 000000598, 01.03.2010</t>
  </si>
  <si>
    <t>Берегоукрепления, 000000603, 01.03.2010</t>
  </si>
  <si>
    <t>Благ.озелен.дорога,вертик.план.водооч.станции, 000000604, 01.03.2010</t>
  </si>
  <si>
    <t>Благ-во,озелен.,дорога вертик.план.насос.ст.1 под., 000000605, 01.03.2010</t>
  </si>
  <si>
    <t>Водозаборные сооружения ст.1 подъема, 000000610, 01.03.2010</t>
  </si>
  <si>
    <t>Водонапорная башня, 000000611, 01.03.2010</t>
  </si>
  <si>
    <t>Водоочистная станция, 000000612, 01.03.2010</t>
  </si>
  <si>
    <t>Выпуски береговые, 000000659, 01.03.2010</t>
  </si>
  <si>
    <t>Забор металлический, 000000662, 01.03.2010</t>
  </si>
  <si>
    <t>Насос CRT 2-2 (Электролизная ОСВ), 000000712, 01.03.2010</t>
  </si>
  <si>
    <t>Насос НД 2,5 800/6 Т14А с двиг. 0,55 кВт N 0276, 000000713, 01.03.2010</t>
  </si>
  <si>
    <t>Насос НКНС (Иртыш»,60 кг.) ОСВ, 000000714, 01.03.2010</t>
  </si>
  <si>
    <t>Осциллограф универсальный С1-157 N 0234, 000000717, 01.03.2010</t>
  </si>
  <si>
    <t>Преобразователь частоты ПЧ-ТТПТ-200-380-50-02 УХЛ4 N 0230, 000000724, 01.03.2010</t>
  </si>
  <si>
    <t>Преобразователь частоты ПЧ-ТТПТ-250-380-50-02-М1-УХЛ4 N 0413, 000000725, 01.03.2010</t>
  </si>
  <si>
    <t>Преобразователь частоты ПЧ-ТТПТ-31.5-380-50-02 УХЛ4 N 0345, 000000726, 01.03.2010</t>
  </si>
  <si>
    <t>Резервуар емкостью 2000 м.куб., 000000732, 01.03.2010</t>
  </si>
  <si>
    <t>№ п/п</t>
  </si>
  <si>
    <t>Составляющие прибыли</t>
  </si>
  <si>
    <t>1.</t>
  </si>
  <si>
    <t>Прибыль на развитие производства</t>
  </si>
  <si>
    <t>в том числе:</t>
  </si>
  <si>
    <t>2.</t>
  </si>
  <si>
    <t>3.</t>
  </si>
  <si>
    <t>Ср.з/пл в месяц с ИПЦ 4,5 %</t>
  </si>
  <si>
    <t>предложения предприятия  2016</t>
  </si>
  <si>
    <r>
      <t xml:space="preserve">факт с учетом индекса </t>
    </r>
    <r>
      <rPr>
        <i/>
        <sz val="11.5"/>
        <rFont val="Times New Roman"/>
        <family val="1"/>
      </rPr>
      <t>(услуги ЖКХ)</t>
    </r>
  </si>
  <si>
    <t>Ср.з/пл в месяц с ИПЦ 4,5%</t>
  </si>
  <si>
    <t>Расходы в тариф на 2016 год по Костроме (распределяются между представительствами пропорционально заработной плате основных производственных рабочих)</t>
  </si>
  <si>
    <t>Наблюдение за производством земляных работ (газ)</t>
  </si>
  <si>
    <t>Выдача разрешений на земляные работы</t>
  </si>
  <si>
    <t>амортизация</t>
  </si>
  <si>
    <t>концессионное соглашение</t>
  </si>
  <si>
    <t>с учетом факта за 2012 г. и ИПЦ</t>
  </si>
  <si>
    <t>заявка АВС, плюс моющие ср-ва по АВС и рем-строй.бриг.</t>
  </si>
  <si>
    <t>плата за пользование водным объектом</t>
  </si>
  <si>
    <t>утверждено в тарифе 
(2012 г.)</t>
  </si>
  <si>
    <t>Исполнительный директор</t>
  </si>
  <si>
    <t>факт 1 полуг. 2013 г.</t>
  </si>
  <si>
    <t>предоставление канала передачи данных</t>
  </si>
  <si>
    <t>дератизация в строениях</t>
  </si>
  <si>
    <t>транспортный налог</t>
  </si>
  <si>
    <t>расходы на обучение, переподготовку кадров</t>
  </si>
  <si>
    <t>утверждено в тарифе 
(2013 г.)</t>
  </si>
  <si>
    <t>утверждено в  тарифе 
(2013 г.)</t>
  </si>
  <si>
    <t>Подано в сеть потребителям</t>
  </si>
  <si>
    <t>Ед.изм.</t>
  </si>
  <si>
    <t>1 полугодие</t>
  </si>
  <si>
    <t>2 полугодие</t>
  </si>
  <si>
    <t>концессионное соглашение
 (имущество и земельные участки)</t>
  </si>
  <si>
    <t>предл.предприятия</t>
  </si>
  <si>
    <t>СВХ</t>
  </si>
  <si>
    <t>СКХ</t>
  </si>
  <si>
    <t>АВС</t>
  </si>
  <si>
    <t>ОХР</t>
  </si>
  <si>
    <t>аренда земельных участков адм. мун. района</t>
  </si>
  <si>
    <r>
      <t>дог. 3204 от 14.10.2010</t>
    </r>
    <r>
      <rPr>
        <i/>
        <sz val="7"/>
        <rFont val="Arial"/>
        <family val="2"/>
      </rPr>
      <t xml:space="preserve"> (ар.земли Монино) ВНС</t>
    </r>
  </si>
  <si>
    <r>
      <t>дог. 3205 от 14.10.2010</t>
    </r>
    <r>
      <rPr>
        <i/>
        <sz val="7"/>
        <rFont val="Arial"/>
        <family val="2"/>
      </rPr>
      <t xml:space="preserve"> (ар.земли Монино) ВНС</t>
    </r>
  </si>
  <si>
    <r>
      <t>дог. 3181 от20.09.2010</t>
    </r>
    <r>
      <rPr>
        <i/>
        <sz val="7"/>
        <rFont val="Arial"/>
        <family val="2"/>
      </rPr>
      <t xml:space="preserve"> (ар.земли Дружба) КНС</t>
    </r>
  </si>
  <si>
    <r>
      <t>дог. 3180 от20.09.2010</t>
    </r>
    <r>
      <rPr>
        <i/>
        <sz val="7"/>
        <rFont val="Arial"/>
        <family val="2"/>
      </rPr>
      <t xml:space="preserve"> (ар.земли Дружба) КНС</t>
    </r>
  </si>
  <si>
    <r>
      <t>дог. 3179 от20.09.2010</t>
    </r>
    <r>
      <rPr>
        <i/>
        <sz val="7"/>
        <rFont val="Arial"/>
        <family val="2"/>
      </rPr>
      <t xml:space="preserve"> (ар.земли ул Кпасновармейская) КНС</t>
    </r>
  </si>
  <si>
    <r>
      <t>дог. 3178от20.09.2010</t>
    </r>
    <r>
      <rPr>
        <i/>
        <sz val="7"/>
        <rFont val="Arial"/>
        <family val="2"/>
      </rPr>
      <t xml:space="preserve"> (ар.земли ул Кпасновармейская) ОСК</t>
    </r>
  </si>
  <si>
    <r>
      <t>дог. 3182 от20.09.2010</t>
    </r>
    <r>
      <rPr>
        <i/>
        <sz val="7"/>
        <rFont val="Arial"/>
        <family val="2"/>
      </rPr>
      <t xml:space="preserve"> (ар.земли ул. Орждоникидзе)</t>
    </r>
  </si>
  <si>
    <t>ТС
(цеховые)</t>
  </si>
  <si>
    <t>Водоснабжение</t>
  </si>
  <si>
    <t>Наименование профессии</t>
  </si>
  <si>
    <t>Ступень оплаты</t>
  </si>
  <si>
    <t>Тарифный коэффициент</t>
  </si>
  <si>
    <t>Численность, чел.</t>
  </si>
  <si>
    <t>Часовая тарифная ставка руб/час, / оклад руб./мес.</t>
  </si>
  <si>
    <t>по производственной программе (капитальный ремонт объектов )</t>
  </si>
  <si>
    <t>Водопроводная сеть-515м, д/а- 150мм , асбест. (Нерехта г, ул.Димитрова от д.№1 до территории мех.зав, 000001746, 01.03.2011</t>
  </si>
  <si>
    <t>Водопроводная сеть- 140 м, д/а- 50мм  (Нерехта г, ул.Добролюбова от д.№3а до ул.Щорса), 000001747, 01.03.2011</t>
  </si>
  <si>
    <t>Водопроводная сеть 625м, полиэтилен ПЭ 100 63*3,8мм, 000003848, 21.02.2013</t>
  </si>
  <si>
    <t>Водопроводная сеть  500 м, д/а 50мм (г. Нерехта, ул. Есенина от ул. Ленина), 000001748, 01.03.2011</t>
  </si>
  <si>
    <t>Водопроводная сеть  430 м, д/а 50мм (г. Нерехта, ул. Зеленая), 000001749, 01.03.2011</t>
  </si>
  <si>
    <t>Водопроводная сеть  235 м, д/а 100мм (г. Нерехта, ул. Климушинская от ул. Чернышевского до №21), 000001750, 01.03.2011</t>
  </si>
  <si>
    <t>Водопроводная сеть  135 м, д/а 50мм (г. Нерехта, ул. Куйбышева от ул. Некрасова), 000001751, 01.03.2011</t>
  </si>
  <si>
    <t>Водопроводная сеть  375 м, д/а 50мм (г. Нерехта, ул. Комсомольская от ул. Ленина до д. №28), 000001752, 01.03.2011</t>
  </si>
  <si>
    <t>Водопроводная сеть  400 м, д/а 50мм (г. Нерехта, ул. Крестьянская от ул. Ленина), 000001753, 01.03.2011</t>
  </si>
  <si>
    <t>Водопроводная сеть  555 м, д/а 150мм (г. Нерехта, ул. С. Ковалевской от ул. Южной до ул. Гончарова), 000001754, 01.03.2011</t>
  </si>
  <si>
    <t>Водопроводная сеть  355 м, д/а 50мм (г. Нерехта, ул. Кутузова от д. №1 до д. №28), 000001755, 01.03.2011</t>
  </si>
  <si>
    <t>Водопроводная сеть  495 м, д/а 50мм (г. Нерехта, ул. Красина от ул. Кр. Армии ), 000001756, 01.03.2011</t>
  </si>
  <si>
    <t>Водопроводная сеть  2082,5 м, д/а 150мм, чугун.(г. Нерехта, ул. Красноармейская от колодца между ря), 000001757, 01.03.2011</t>
  </si>
  <si>
    <t>Водопроводная сеть  130м, д/а 50мм,-  сталь;  108м,д/а 63мм- полиэтилен, 000001758, 01.03.2011</t>
  </si>
  <si>
    <t>Водопроводная сеть  25м, д/а 32мм,-  полиэтилен;  60м, д/а 100мм- чугун, 000001759, 01.03.2011</t>
  </si>
  <si>
    <t>Водопроводная сеть  235 м, д/а 50мм (г. Нерехта, ул. Котовского от ул. Кр. Армии)_, 000001760, 01.03.2011</t>
  </si>
  <si>
    <t>факт 9 мес 2015 г.</t>
  </si>
  <si>
    <t xml:space="preserve"> факт  затрат 2014 года с учетом ИПЦ  
договор 02-3/448 (2013) от 23.07.13 г. "Стимул - Профи ООО ОА
дог. 90/215(2010) от 28.09.10 ДС№2 от 01.10.12 "Нерехтский ОВО фил. ФГКУ</t>
  </si>
  <si>
    <t>Примечание (к предложению)</t>
  </si>
  <si>
    <t xml:space="preserve">аттестация рабочих мест </t>
  </si>
  <si>
    <t>связь Центртелеком ,Ростелеком</t>
  </si>
  <si>
    <t xml:space="preserve">Инвест-проект ЗАО
договор №306/11/04/351(2011) от 01.09.2011(факт 2014 с учетом  индекса роста поставщика)
</t>
  </si>
  <si>
    <t>повышение квалификации</t>
  </si>
  <si>
    <t>всего СВХ (прямые затраты)</t>
  </si>
  <si>
    <t>СКХ (прямые на водоотведение)</t>
  </si>
  <si>
    <t>расходные материалы, хозяйственный инвентарь,  канцтовары, моющие ср-ва</t>
  </si>
  <si>
    <t>аренда транспортных средств</t>
  </si>
  <si>
    <t>запчасти</t>
  </si>
  <si>
    <t>расходы на текущее обслуживание и плановый ремонт автотранспорта</t>
  </si>
  <si>
    <t>сырье и материалы</t>
  </si>
  <si>
    <t>расходы на охрану труда (спецодежда)</t>
  </si>
  <si>
    <t>расходы на охрану труда (медосмотр)</t>
  </si>
  <si>
    <t>страхование имущества по концессионному согл.</t>
  </si>
  <si>
    <t>гос. пошлина за регистрацию паспорта</t>
  </si>
  <si>
    <t>страховые платежи по ОСАГО</t>
  </si>
  <si>
    <t xml:space="preserve"> добровольное личное  страхование, предусматривающее оплату страховщиками медицински расходов(клещ)</t>
  </si>
  <si>
    <t>факт  9 мес.</t>
  </si>
  <si>
    <t>% распр-я (общецеховых расходов: ТС, АВС)</t>
  </si>
  <si>
    <t>прочий цеховый персонал СВХ</t>
  </si>
  <si>
    <t>Уд. расход</t>
  </si>
  <si>
    <t xml:space="preserve">объём энергии </t>
  </si>
  <si>
    <t>Водопроводная сеть- 3652 м, д/а- 50-150мм  (Нерехта г, ул.Нерехтская, пр.Текстильщиков), 000001730, 01.03.2011</t>
  </si>
  <si>
    <t>с учетом индекса роста зар/платы</t>
  </si>
  <si>
    <t>Водопроводная сеть чугунная Д-100-пр.Текстильщиков-от ул.Больничная до ул.Нерехтская ,110 п.м., 000000656, 01.03.2010</t>
  </si>
  <si>
    <t>Водопроводный ввод ул.Пролетарская д.д.51, 53, 55: (от ВК ул.Пролетарская, полиэтилен,диам.63 мм.,пр, 000000658, 01.03.2010</t>
  </si>
  <si>
    <t>Наружная сеть водопровода по ул. Гагарина, участок от д.47 до д.49, полиэтилен, диам. 40 мм., протяж, 000000709, 01.03.2010</t>
  </si>
  <si>
    <t>Преобразователь частоты ПЧ-ТТПТ-125-380-50-02 КХЛ4  N 0353, 000000722, 01.03.2010</t>
  </si>
  <si>
    <t>Сети водопровода - ОСВ, 000000740, 01.03.2010</t>
  </si>
  <si>
    <t>Водопроводная сеть а/ц 200 мм. 952 п.м  ул. Пролетарская., 000000616, 01.03.2010</t>
  </si>
  <si>
    <t>Водопроводная сеть к ж/д №5 пл.Металлистов (Строительство), ( от ВК пл.Каблучников до ж/д 5 пл.Метал, 000000617, 01.03.2010</t>
  </si>
  <si>
    <t>Водопроводная сеть п/э 225 мм. 180 п.м  ул. Кирова., 000000618, 01.03.2010</t>
  </si>
  <si>
    <t>Водопроводная сеть п/э д-65мм. Пер.Строительный- от пр. Текстильщиков до ул.ХХП Партсьезда 62,5 п.м., 000000619, 01.03.2010</t>
  </si>
  <si>
    <t>Водопроводная сеть ПВХ, диаметр 300 мм, протяженность 109 м по пл.Свободы, (от ул.Бебеля до ВК на пе, 000000620, 01.03.2010</t>
  </si>
  <si>
    <t>Водопроводная сеть по пр.Текстильщиков -11 (от ВК пр.Текстильщиков д.12 до ж/д 11 пр.Текстильщиков, , 000000621, 01.03.2010</t>
  </si>
  <si>
    <t>Водопроводная сеть по ул.Маяковского (от ВК д.30 ул.Маяковского к ж/д 28 ул.Маяковского, полиэтилен,, 000000622, 01.03.2010</t>
  </si>
  <si>
    <t>Водопроводная сеть по ул.Осипенко (от ВК ул.Клары Цеткин д.18 до ВК ул.Осипенко д.1, полиэтилен, диа, 000000623, 01.03.2010</t>
  </si>
  <si>
    <t>Водопроводная сеть полиэтилен, протяж. 889,3 м диам. 300 мм  от КП-1 по ул. Красноармейской ( 2-й пу, 000000624, 05.04.2010</t>
  </si>
  <si>
    <t>Водопроводная сеть стальная 14 мм.-ОСК  14 п.м., 000000625, 01.03.2010</t>
  </si>
  <si>
    <t>Водопроводная сеть стальная 15 мм.-ОСК  15 п.м., 000000626, 01.03.2010</t>
  </si>
  <si>
    <t>Водопроводная сеть стальная 400мм. 105 п.м., 000000627, 01.03.2010</t>
  </si>
  <si>
    <t>Водопроводная сеть стальная 60 мм.-ул.Южная-от ул.Герцена до дома №61 269,5 п.м., 000000628, 01.03.2010</t>
  </si>
  <si>
    <t>Водопроводная сеть ул.Свердлова д.13 а, 14, 15, 17а, 18, 21, 23 (строительство) (от ВК д.11 ул.Сверд, 000000629, 01.03.2010</t>
  </si>
  <si>
    <t>Водопроводная сеть чугун.300 мм.1262,5 п.м. ул.Северная, 000000630, 01.03.2010</t>
  </si>
  <si>
    <t>Водопроводная сеть чугунная 100 мм. 1225,5 п.м. ул.Полевая-450м.,ул.Молодежная-от ул.Октябрьская до , 000000631, 01.03.2010</t>
  </si>
  <si>
    <t>Водопроводная сеть чугунная 100 мм. 147 п.м. ул. Фрунзе, 000000632, 01.03.2010</t>
  </si>
  <si>
    <t>Водопроводная сеть чугунная 100 мм. 220 п.м. пер. Жуковского от ул. С.Ковалевской до ул. Восточная, 000000633, 01.03.2010</t>
  </si>
  <si>
    <t>Водопроводная сеть с колодцем на пересечении ул.Подгорная и пр-д на ул.Юбилейная 50мм 415м, 000001787, 01.03.2011</t>
  </si>
  <si>
    <t>Водопроводная сеть 75м, д/а 63мм ,  полиэтилен (Нерехта г, ул. Пархоменко от ул. Чернышевского), 000001788, 01.03.2011</t>
  </si>
  <si>
    <t>Водопроводная сеть  300 м, д/а 100мм ,чугун (г. Нерехта, от ул. Пролетарской до распределительной ка, 000001789, 01.03.2011</t>
  </si>
  <si>
    <t>Водопроводная сеть  225 м, д/а 100мм , (г. Нерехта, ул. 1-я Рабочая от ул. Климушинской до ул. Лапин, 000001790, 01.03.2011</t>
  </si>
  <si>
    <t>Водопроводная сеть  135 м, д/а 50мм , (г. Нерехта, ул. 8-я Рабочая от ул. 9-я Рабочая до ул. Ларионо, 000001791, 01.03.2011</t>
  </si>
  <si>
    <t>Водопроводная сеть  65 м, д/а 50мм , (г. Нерехта, ул. Радищева от д. №2 до №8), 000001792, 01.03.2011</t>
  </si>
  <si>
    <t>Водопроводная сеть  140 м, д/а 50мм , сталь(г. Нерехта, ул. 11-я Рабочая от ул. Мира до ул. Лобанова, 000001793, 01.03.2011</t>
  </si>
  <si>
    <t>Водопроводная сеть  300 м, д/а 200мм , чугун ; 1175 м, д/а 150мм , чугун(г. Нерехта, -от ул. Северна, 000001794, 01.03.2011</t>
  </si>
  <si>
    <t>Водопроводная сеть  625 м, д/а 100мм , (г. Нерехта, ул. Серова), 000001795, 01.03.2011</t>
  </si>
  <si>
    <t>Водопроводная сеть  385 м, д/а 100мм , (г. Нерехта, ул. Солнечная от ул. Нерехтская), 000001796, 01.03.2011</t>
  </si>
  <si>
    <t>Водопроводная сеть  110 м, д/а 100мм , (г. Нерехта, ул. Светлая от ул. Нерехтской до д. №3), 000001797, 01.03.2011</t>
  </si>
  <si>
    <t>Водопроводная сеть  755 м, д/а 100мм , (г. Нерехта, ул. Советская от ул. Кр. Армии ), 000001798, 01.03.2011</t>
  </si>
  <si>
    <t>Водопроводная сеть  690 м, д/а 50мм , (г. Нерехта, ул. Строительная от пр-та Текстильщиков до ул. Го, 000001799, 01.03.2011</t>
  </si>
  <si>
    <t>Водопроводная сеть  200 м, д/а 100мм , (г. Нерехта, ул. Симановского от ул. Ивановская), 000001800, 01.03.2011</t>
  </si>
  <si>
    <t>Водопроводная сеть  300 м, д/а 50мм , (г. Нерехта, ул. Суворова от ул. Ивановской), 000001802, 01.03.2011</t>
  </si>
  <si>
    <t>факт 2014</t>
  </si>
  <si>
    <t>предложения департамента 2014 год</t>
  </si>
  <si>
    <t>предложение предприятия в тариф 2016</t>
  </si>
  <si>
    <t xml:space="preserve"> лабораторно-инструментальные исследования по производственному контролю</t>
  </si>
  <si>
    <t>лабораторно-инструментальные исследования по производственному контролю</t>
  </si>
  <si>
    <t>прочие (разовые услуги сторонних организаций)</t>
  </si>
  <si>
    <t xml:space="preserve">Расходы на медосмотр  </t>
  </si>
  <si>
    <t xml:space="preserve">Расходы на спецодежду </t>
  </si>
  <si>
    <t xml:space="preserve">       Итого по АВС (без расходов на оплату труда и соц. отчислений)</t>
  </si>
  <si>
    <t>Итого по транспортной службе (без расходов на оплату труда и соц. отчислений)</t>
  </si>
  <si>
    <t>предложения департамента в тариф 2014</t>
  </si>
  <si>
    <t>% распределения общехозяйственных расходов</t>
  </si>
  <si>
    <t>%</t>
  </si>
  <si>
    <t>факт 2014 г.</t>
  </si>
  <si>
    <t>общецеховые</t>
  </si>
  <si>
    <t>факт  2014г.</t>
  </si>
  <si>
    <t>компенсация за выдачу молока Молоко 46,26 руб за 1 л.</t>
  </si>
  <si>
    <t>прочий.цеховый персонала</t>
  </si>
  <si>
    <t>ИТР СКХ</t>
  </si>
  <si>
    <t>Доплата за работу в праздники(15 дней)</t>
  </si>
  <si>
    <t>Ремонтно-строительная бригада</t>
  </si>
  <si>
    <t>рабочий по компл.ремонту зданий</t>
  </si>
  <si>
    <t>Насос КНС (К8-18,64 кг) ул.Красноармейская, ул.К.Маркса-2шт., 000000974, 01.03.2010</t>
  </si>
  <si>
    <t>Насос СД-160/10 0074_1, 000000976, 01.03.2010</t>
  </si>
  <si>
    <t>Насос СМ 250-200-400/6 фекал.без двиг. 0078_1, 000000979, 01.03.2010</t>
  </si>
  <si>
    <t>Насос фекальный 8-ф-12 0079_1, 000000980, 01.03.2010</t>
  </si>
  <si>
    <t>Насос фекальный 8-ф-12 0080_1, 000000981, 01.03.2010</t>
  </si>
  <si>
    <t>Насос фекальный с двигателем 0081_1, 000000982, 01.03.2010</t>
  </si>
  <si>
    <t>Насос дозирующий PS1D025C SS 50 I/h-20 bar, 000001101, 07.09.2010</t>
  </si>
  <si>
    <t>Насос Х50-32-125Д-С 2,2 кВт, 000001106, 13.09.2010</t>
  </si>
  <si>
    <t>Ei-7011-175Н 132кВт 380В,частотн.преобразователь, 000003686, 18.05.2012</t>
  </si>
  <si>
    <t>Канализационная сеть - 1 393 м, д/а- 100-150мм ,  (Нерехта г, район ул.Дружбы), 000001843, 01.03.2011</t>
  </si>
  <si>
    <t>расходы на уплату процентов по займам и кредитам</t>
  </si>
  <si>
    <t>План 2015</t>
  </si>
  <si>
    <t>План 2016</t>
  </si>
  <si>
    <t>План 2017</t>
  </si>
  <si>
    <t>% распределения (по выручке)</t>
  </si>
  <si>
    <t>План 2018</t>
  </si>
  <si>
    <t>(п. 22 в ред. Приказа ФСТ России от 24.11.2014)</t>
  </si>
  <si>
    <t>Налог прибыль всего</t>
  </si>
  <si>
    <t>расчет (с учетом роста на ИПЦ) с учетом предрейсового осмотра договор 04/6(2015) от 14.01.2015</t>
  </si>
  <si>
    <t>Общехоз</t>
  </si>
  <si>
    <t>Отчисл на социальные нужды</t>
  </si>
  <si>
    <t>на период</t>
  </si>
  <si>
    <t>2.3.1</t>
  </si>
  <si>
    <t xml:space="preserve">ФОНД </t>
  </si>
  <si>
    <t>750 руб проездной для 4 контролеров на 11 мес. с учетом роста на ИПЦ</t>
  </si>
  <si>
    <t>индекс по жкх</t>
  </si>
  <si>
    <t>расчет по амортизации</t>
  </si>
  <si>
    <t xml:space="preserve"> дог. 01-3/630 (2014)   от 12 ноября 2014 ФБУ "ЦЛАТИ"</t>
  </si>
  <si>
    <r>
      <t xml:space="preserve">факт с учетом индекса </t>
    </r>
    <r>
      <rPr>
        <i/>
        <sz val="10.5"/>
        <rFont val="Times New Roman"/>
        <family val="1"/>
      </rPr>
      <t xml:space="preserve">(услуги ЖКХ)  </t>
    </r>
    <r>
      <rPr>
        <sz val="10.5"/>
        <rFont val="Times New Roman"/>
        <family val="1"/>
      </rPr>
      <t>дог. 04/154(2014) от 24.02.2014 ООО "Жилищно-коммунальный комплекс"</t>
    </r>
  </si>
  <si>
    <t>договор с ООО "Дезис" дог. 01-3/848(2013) от 12.12.2013 с учетом роста на ИПЦ</t>
  </si>
  <si>
    <t>"Связь-энерго" ООО
дог.34/2010/13(2010) от 10.03.10., с ростом на ИПЦ</t>
  </si>
  <si>
    <t xml:space="preserve">       ИТОГО ПО СКХ (без учета з.пл., соц. отчислений, арендных платежей):</t>
  </si>
  <si>
    <r>
      <t xml:space="preserve">расчет на 2015  с учетом ИПЦ </t>
    </r>
    <r>
      <rPr>
        <i/>
        <sz val="10.5"/>
        <rFont val="Times New Roman"/>
        <family val="1"/>
      </rPr>
      <t>(механика транспортной службы)</t>
    </r>
  </si>
  <si>
    <t xml:space="preserve">по предложению департамента  в 2014 </t>
  </si>
  <si>
    <t xml:space="preserve"> моющие - расчет по охране труда</t>
  </si>
  <si>
    <t>по факту 2014 года с ростом на ИПЦ</t>
  </si>
  <si>
    <t>уточнить  по Абонентскому</t>
  </si>
  <si>
    <t>договор №04-1/19 (2010) от 01.03.2010г.</t>
  </si>
  <si>
    <t xml:space="preserve">  исполнение полномочий Управляющей организации</t>
  </si>
  <si>
    <t>капитальные вложения (приобретение основных средств)</t>
  </si>
  <si>
    <t>факт с учетом индекса</t>
  </si>
  <si>
    <t xml:space="preserve"> дог. 01-3/848(2013) от 12.12.2013 Дезис
 факт с учетом роста на ИПЦ</t>
  </si>
  <si>
    <t>проведение испытаний в воде</t>
  </si>
  <si>
    <t>обучение  персонала</t>
  </si>
  <si>
    <r>
      <t xml:space="preserve">факт с учетом индекса </t>
    </r>
    <r>
      <rPr>
        <i/>
        <sz val="10.5"/>
        <rFont val="Times New Roman"/>
        <family val="1"/>
      </rPr>
      <t>(услуги ЖКХ)</t>
    </r>
  </si>
  <si>
    <t>Аварийно-восстановительная служба Нерехтского представительства</t>
  </si>
  <si>
    <t>Водопроводная сеть  550 м, д/а 63мм , (г. Нерехта, ул.Садовая от ул. Кр. Армии ), 000001803, 01.03.2011</t>
  </si>
  <si>
    <t>Канализационная сеть - 1980м, д/а- 100-300мм ,  (Нерехта г, район ул.Маяковского, район ул.Металлист, 000001849, 01.03.2011</t>
  </si>
  <si>
    <t>Канализационная сеть - 880м, д/а- 100-150мм ,  (Нерехта г, район ул.Нерехтская, район пр.Текстильщик, 000001850, 01.03.2011</t>
  </si>
  <si>
    <t>Канализационная сеть - 425м, д/а- 300мм ,  (Нерехта г, ул. Бебеля от пл. Свободы до ул. Чкалова), 000001851, 01.03.2011</t>
  </si>
  <si>
    <t>Канализационная сеть - 70м, д/а- 250мм ,  чугун, (Нерехта г, ул. Восточная от Кутузова до Луговой), 000001853, 01.03.2011</t>
  </si>
  <si>
    <t>Канализационная сеть - 560м, д/а- 250мм ,  асбест, (Нерехта г, ул. Глазова от д. №3 к кафе «Охотник», 000001854, 01.03.2011</t>
  </si>
  <si>
    <t>Канализационная сеть - 240м, (Нерехта г, ул. Гайдара от ул. Лапина до д. №10 по ул. Климушинской), 000001855, 01.03.2011</t>
  </si>
  <si>
    <t>Канализационная сеть - 1002,5м, д/а - 300мм, керамика, (Нерехта г, ул. Красноармейская от пл. Свобод, 000001856, 01.03.2011</t>
  </si>
  <si>
    <t>Канализационная сеть - 137м, д/а - 200мм, асбест, (Нерехта г, ул. Короткая от д. №2 до ул. Бебеля), 000001857, 01.03.2011</t>
  </si>
  <si>
    <t>Канализационная сеть - 95м, д/а - 200мм, чугун, (Нерехта г, ул. Луговая от ул. Восточной), 000001858, 01.03.2011</t>
  </si>
  <si>
    <t>Канализационная сеть - 580м, д/а - 150мм, керамика, (Нерехта г, ул. Металлистов: -от ул.Молодежной д, 000001859, 01.03.2011</t>
  </si>
  <si>
    <t>Канализационная сеть - 310м, д/а - 200мм, керамика, (Нерехта г, ул. Нерехтская от 22-го Партсъезда д, 000001860, 01.03.2011</t>
  </si>
  <si>
    <t>Водоподготовка</t>
  </si>
  <si>
    <t>1.1</t>
  </si>
  <si>
    <t>тыс. куб. м</t>
  </si>
  <si>
    <t>1.1.1</t>
  </si>
  <si>
    <t>из поверхностных источников</t>
  </si>
  <si>
    <t>1.1.3</t>
  </si>
  <si>
    <t>доочищенная сточная вода для нужд технического водоснабжения</t>
  </si>
  <si>
    <t>1.2</t>
  </si>
  <si>
    <t>Объем воды, прошедшей водоподготовку</t>
  </si>
  <si>
    <t>1.3</t>
  </si>
  <si>
    <t>Объем технической воды, поданной в сеть</t>
  </si>
  <si>
    <t>1.4</t>
  </si>
  <si>
    <t>Объем питьевой воды, поданной в сеть</t>
  </si>
  <si>
    <t>Приготовление горячей воды</t>
  </si>
  <si>
    <t>2.1</t>
  </si>
  <si>
    <t>Объем воды из собственных источников</t>
  </si>
  <si>
    <t>2.2</t>
  </si>
  <si>
    <t>Объем приобретенной питьевой воды</t>
  </si>
  <si>
    <t>2.3</t>
  </si>
  <si>
    <t>Объем горячей воды, поданной в сеть</t>
  </si>
  <si>
    <t>2.1.</t>
  </si>
  <si>
    <t>3.1.2</t>
  </si>
  <si>
    <t>от других операторов</t>
  </si>
  <si>
    <t>Потери воды</t>
  </si>
  <si>
    <t>Потребление на собственные нужды</t>
  </si>
  <si>
    <t>2.4</t>
  </si>
  <si>
    <t>Объем воды, отпущенной из сети</t>
  </si>
  <si>
    <t>2.5</t>
  </si>
  <si>
    <t>Передано на другие территории, дифференцированные по тарифу</t>
  </si>
  <si>
    <t>Транспортировка технической воды</t>
  </si>
  <si>
    <t>4.1</t>
  </si>
  <si>
    <t>Объем воды, поступившей в сеть</t>
  </si>
  <si>
    <t>4.2</t>
  </si>
  <si>
    <t>4.3</t>
  </si>
  <si>
    <t>4.4</t>
  </si>
  <si>
    <t>Транспортировка горячей воды</t>
  </si>
  <si>
    <t>5.1</t>
  </si>
  <si>
    <t>5.2</t>
  </si>
  <si>
    <t>5.3</t>
  </si>
  <si>
    <t>5.4</t>
  </si>
  <si>
    <t>Объем воды, отпущенной абонентам:</t>
  </si>
  <si>
    <t>по приборам учета</t>
  </si>
  <si>
    <t>по нормативам</t>
  </si>
  <si>
    <t>для приготовления горячей воды</t>
  </si>
  <si>
    <t>при дифференциации тарифов по объему</t>
  </si>
  <si>
    <t>Канализационная сеть - 35м, д/а - 150мм, чугун, (Нерехта г, ул.1-я Текстильная от ул. 22-го Партсъез, 000001863, 01.03.2011</t>
  </si>
  <si>
    <t>Канализационная сеть - 100м, д/а - 200мм, чугун, (Нерехта г, ул. 2-я Текстильная от ул. 22-го Партсъ, 000001864, 01.03.2011</t>
  </si>
  <si>
    <t>Канализационная сеть - 280м, д/а - 250мм, чугун, (Нерехта г, ул. Чехова от пер. Жуковского до ул. Ти, 000001865, 01.03.2011</t>
  </si>
  <si>
    <t>Канализационная сеть - 200м, д/а - 250мм, чугун, (Нерехта г, ул. Шагова, от ул. Нерехтская до ул. Ле, 000001866, 01.03.2011</t>
  </si>
  <si>
    <t>Канализационная сеть - 120м, д/а - 400мм, асбест, (Нерехта г, ул. Ярославская от ул. Пионерская), 000001868, 01.03.2011</t>
  </si>
  <si>
    <t>Канализационная сеть - 175м, д/а - 200мм, чугун, (Нерехта г, пер. Короткий от д. №7 через проулок на, 000001869, 01.03.2011</t>
  </si>
  <si>
    <t>Канализационная сеть - 240м, д/а - 200мм, асбест, (Нерехта г, пер. Калинина от д. №1 до ул. Октябрьс, 000001870, 01.03.2011</t>
  </si>
  <si>
    <t>Канализационная сеть - 82,5м, д/а - 200мм, чугун, (Нерехта г, пер. Пионерский от пер. Крупской до д., 000001871, 01.03.2011</t>
  </si>
  <si>
    <t>Канализационная сеть - 115м, д/а - 400мм, асбест, (Нерехта г, пл. Свободы от ул. Бебеля ), 000001872, 01.03.2011</t>
  </si>
  <si>
    <t>Канализационная сеть - 200м, д/а - 250мм, керамика, (Нерехта г, пл. 30-летия Победы ), 000001873, 01.03.2011</t>
  </si>
  <si>
    <t>Компрессор АНМ 1-90/125 0054_1, 000000955, 01.03.2010</t>
  </si>
  <si>
    <t>Nashuatec MP171SPF  Многофункциональный копировальный аппарат, 000000589, 20.04.2010</t>
  </si>
  <si>
    <t>Здание 2 этажное кирпичное с пристройкой 50 квм ,ул.Орджоникидзе д.2, 000000663, 01.03.2010</t>
  </si>
  <si>
    <t>Гардероб П-Консул, 000000711, 01.10.2010</t>
  </si>
  <si>
    <t>Дрель электрическая, 000000953, 01.03.2010</t>
  </si>
  <si>
    <t>Кондиционер GREE KF-26GW/A13 N 0349, 000000957, 01.03.2010</t>
  </si>
  <si>
    <t>Контейнер, 000000959, 01.03.2010</t>
  </si>
  <si>
    <t>Контейнер, 000000960, 01.03.2010</t>
  </si>
  <si>
    <t>Кресло руководителя, 000000961, 01.03.2010</t>
  </si>
  <si>
    <t>Лазерный принтер Laser Jet 6L модель С 3990 А, 000000963, 01.03.2010</t>
  </si>
  <si>
    <t>Музыкальный центр, 000000965, 01.03.2010</t>
  </si>
  <si>
    <t>Подставка под процессор, 000000991, 01.03.2010</t>
  </si>
  <si>
    <t>Принтер hp Laserget 243ОТ  N 0398, 000000996, 01.03.2010</t>
  </si>
  <si>
    <t>Сейф с подставкой N 0229, 000000998, 01.03.2010</t>
  </si>
  <si>
    <t>Стол В-2В, 000001001, 01.03.2010</t>
  </si>
  <si>
    <t>Стол В-2В, 000001002, 01.03.2010</t>
  </si>
  <si>
    <t>Стол В-5, 000001003, 01.03.2010</t>
  </si>
  <si>
    <t>Стол В-5В, 000001004, 01.03.2010</t>
  </si>
  <si>
    <t>Стол заседаний, 000001005, 01.03.2010</t>
  </si>
  <si>
    <t>Стол компьютерный, 000001006, 01.03.2010</t>
  </si>
  <si>
    <t>Стол компьютерный, 000001007, 01.03.2010</t>
  </si>
  <si>
    <t>Стол рабочий, 000001008, 01.03.2010</t>
  </si>
  <si>
    <t>Стол руководителя, 000001009, 01.03.2010</t>
  </si>
  <si>
    <t>Стул мягкий, 000001012, 01.03.2010</t>
  </si>
  <si>
    <t>Стул мягкий, 000001013, 01.03.2010</t>
  </si>
  <si>
    <t>Стул мягкий, 000001014, 01.03.2010</t>
  </si>
  <si>
    <t>Тумба выкатная, 000001019, 01.03.2010</t>
  </si>
  <si>
    <t>Тумба выкатная, 000001020, 01.03.2010</t>
  </si>
  <si>
    <t>Тумба выкатная, 000001021, 01.03.2010</t>
  </si>
  <si>
    <t>Тумба С 13, 000001022, 01.03.2010</t>
  </si>
  <si>
    <t>Угловое соединение, 000001023, 01.03.2010</t>
  </si>
  <si>
    <t>Угловое соединение, 000001024, 01.03.2010</t>
  </si>
  <si>
    <t>Шкаф д/документов, 000001027, 01.03.2010</t>
  </si>
  <si>
    <t>Шкаф д/документов, 000001028, 01.03.2010</t>
  </si>
  <si>
    <t>Шкаф д/одежды, 000001029, 01.03.2010</t>
  </si>
  <si>
    <t>Шкаф для одежды А-56, 000001030, 01.03.2010</t>
  </si>
  <si>
    <t>Шкаф для одежды А-56, 000001031, 01.03.2010</t>
  </si>
  <si>
    <t>Ноутбук HP , 000001082, 08.07.2010</t>
  </si>
  <si>
    <t>Расходы по Костроме (без. з.пл.)</t>
  </si>
  <si>
    <t>Прибыль на поощрение (МП к отпуску)</t>
  </si>
  <si>
    <t>Прибыль от товарной продукции (расходы из прибыли)</t>
  </si>
  <si>
    <t>Содержание зданий, сооружений, инвентаря:</t>
  </si>
  <si>
    <t>спецодежда</t>
  </si>
  <si>
    <t>моющие средства</t>
  </si>
  <si>
    <t>проведение медосмотров</t>
  </si>
  <si>
    <t>расчет( с учетом роста на ИПЦ)</t>
  </si>
  <si>
    <t>канцтовары</t>
  </si>
  <si>
    <t>дератизация</t>
  </si>
  <si>
    <t>лабораторные исследования воды</t>
  </si>
  <si>
    <t>зарядка огнетушителей</t>
  </si>
  <si>
    <t>плата за негативное воздействие на окруж.среду</t>
  </si>
  <si>
    <t>поверка приборов, калибровка, аттестация</t>
  </si>
  <si>
    <t xml:space="preserve">утилизация ТБО </t>
  </si>
  <si>
    <t>услуги сторонних организаций по электротехническим измерениям на объектах</t>
  </si>
  <si>
    <t xml:space="preserve"> материальные расходы, хоз.инвентарь и инструменты</t>
  </si>
  <si>
    <t>расходы на охрану объекта</t>
  </si>
  <si>
    <t>дератизация строениях</t>
  </si>
  <si>
    <t>по факту с учетом роста на ИПЦ</t>
  </si>
  <si>
    <t>расчет (с учетом ИПЦ)</t>
  </si>
  <si>
    <t>обучение по охране труда</t>
  </si>
  <si>
    <t>обучение электротехнического персонала</t>
  </si>
  <si>
    <t xml:space="preserve">       ИТОГО ПО СВХ (без учета з.пл.,водного налога, аренды):</t>
  </si>
  <si>
    <t>Водоотведение (напрямую на водоотведение)</t>
  </si>
  <si>
    <t>затраты по откачке сточной жидкости через КНС мех.завода по договору</t>
  </si>
  <si>
    <t xml:space="preserve">Базальт НПО
 по дог. 20/10/79(2010) от 22.03.10 г. 
</t>
  </si>
  <si>
    <t xml:space="preserve"> материальные расходы, хоз. инвентарь</t>
  </si>
  <si>
    <t>Общецеховые расходы по основной деятельности (распределяются пропорционально з.пл. основных работников)</t>
  </si>
  <si>
    <t>с учетом факта за 2012 год и роста на ИПЦ</t>
  </si>
  <si>
    <t>добровольное личное  страхование, предусматривающее оплату страховщиками медицинских расходов(клещ)</t>
  </si>
  <si>
    <t>лабораторные исследования воды сточной</t>
  </si>
  <si>
    <t>Транспортная служба</t>
  </si>
  <si>
    <t>ГСМ</t>
  </si>
  <si>
    <t>расчет (с учетом роста на ИПЦ)</t>
  </si>
  <si>
    <t>Аварийно-восстановительная служба</t>
  </si>
  <si>
    <t>Добровольное личное страхование, предусматривающее оплату страховщиками медицинских расходов (клещ)</t>
  </si>
  <si>
    <t>Итого цеховые расходы</t>
  </si>
  <si>
    <t>в т.ч.</t>
  </si>
  <si>
    <t>напрямую на воду</t>
  </si>
  <si>
    <t>напрямую на стоки</t>
  </si>
  <si>
    <t>Затвор 32ч926р Ду 600 Ру10 п/ привод шт</t>
  </si>
  <si>
    <t>НЕР  Водоканалсервис Основной склад</t>
  </si>
  <si>
    <t>Насос СМ 125-100-250/4 15 кВт 1450 об/мин</t>
  </si>
  <si>
    <t>Преобразователь частоты "Веспер" ЕI-P 7012 075Н</t>
  </si>
  <si>
    <t>Устройство плавного пуска ДМС2-015Н 11 кВт</t>
  </si>
  <si>
    <t>Устройство плавного пуска ДМС2-020Н 15 кВт</t>
  </si>
  <si>
    <t>амортизация на новое оборудование к установке в 2015(сч.07)</t>
  </si>
  <si>
    <t>сумма амортизации в 2015</t>
  </si>
  <si>
    <t>сумма амортизации в 2016</t>
  </si>
  <si>
    <t>остаточная стоимость 2016</t>
  </si>
  <si>
    <t>амортизация на оборудование  фактически установл.(база)</t>
  </si>
  <si>
    <t>остаточная стоимость на конец 2015</t>
  </si>
  <si>
    <t>итого ФОТ</t>
  </si>
  <si>
    <t>численность прямая на вид деятельности</t>
  </si>
  <si>
    <t>Распределение численности общецеховой</t>
  </si>
  <si>
    <t>ОБЩЕЦЕХОВЫЕ</t>
  </si>
  <si>
    <t xml:space="preserve">ТРАНСПОРТНАЯ </t>
  </si>
  <si>
    <t>ВСЕГО</t>
  </si>
  <si>
    <t>на оплату труда цехового персонала  на 2016 год</t>
  </si>
  <si>
    <t>численность цеховая</t>
  </si>
  <si>
    <t>распределение ФОТ АУП</t>
  </si>
  <si>
    <t xml:space="preserve">Распределение численности </t>
  </si>
  <si>
    <t>ФОТ АУП Нерехта</t>
  </si>
  <si>
    <t>численность АУП Нерехта</t>
  </si>
  <si>
    <t>прочая деятельность</t>
  </si>
  <si>
    <t>ФОТ АУП Кострома</t>
  </si>
  <si>
    <t>численность АУП Кострома</t>
  </si>
  <si>
    <t>Нивелир НИ-3 в комплекте N 0228, 000000985, 01.03.2010</t>
  </si>
  <si>
    <t>основные стоки</t>
  </si>
  <si>
    <t>Водопровод 1 пусковой комплекс, протяженность 2 047 м, д/а-300 мм, чугун, прокол под ж/д- 60м, 000001719, 01.03.2011</t>
  </si>
  <si>
    <t>Водопроводная сеть- 1506 м, д/а- 50-150мм  (Нерехта г, Дружбы ул), 000001721, 01.03.2011</t>
  </si>
  <si>
    <t>Водопроводная сеть- 2530 м, д/а- 89-150мм  (Нерехта г, К.Либкнехта ул,), 000001723, 01.03.2011</t>
  </si>
  <si>
    <t>Водопроводная сеть- 1585 м, д/а- 50-150мм  (Нерехта г, Пролетарская ул), 000001724, 01.03.2011</t>
  </si>
  <si>
    <t>Водопроводная сеть- 3280 м, д/а- 50-200мм  (Нерехта г, Гайдара ул,), 000001725, 01.03.2011</t>
  </si>
  <si>
    <t>Водопроводная сеть- 3422 м, д/а- 50-150мм  (Нерехта г, район ул.Металлистов, ул.Октябрьская, ул.Поб), 000001726, 01.03.2011</t>
  </si>
  <si>
    <t>Водопроводная сеть- 4850 м, д/а- 50-150мм  (Нерехта г, район ул.Глазова, ул.Калинина, ул.Октябрьская, 000001727, 01.03.2011</t>
  </si>
  <si>
    <t>Водопроводная сеть- 2320 м, д/а- 50-200мм  (Нерехта г, район ул.Маяковского, район ул.Металлистов), 000001728, 01.03.2011</t>
  </si>
  <si>
    <t>Общество с ограниченной ответственностью "Водоканалсервис"</t>
  </si>
  <si>
    <t xml:space="preserve">Ведомость амортизации ОС </t>
  </si>
  <si>
    <t>Выводимые данные:</t>
  </si>
  <si>
    <t>БУ (данные бухгалтерского учета)</t>
  </si>
  <si>
    <t>Отбор:</t>
  </si>
  <si>
    <t>Основное средство В группе "ВКС-Нерехтское представительство"</t>
  </si>
  <si>
    <t>Подразделение \ Способ начисления амортизации \ Счет учета \ Подразделение \ Основное средство, Инвентарный номер, Дата принятия к учету</t>
  </si>
  <si>
    <t>На начало периода</t>
  </si>
  <si>
    <t>За период</t>
  </si>
  <si>
    <t>Начисление амортизации (месяц)</t>
  </si>
  <si>
    <t>На конец периода</t>
  </si>
  <si>
    <t>Стоимость</t>
  </si>
  <si>
    <t>Амортизация (износ)</t>
  </si>
  <si>
    <t>Остаточная стоимость</t>
  </si>
  <si>
    <t>Увеличение стоимости</t>
  </si>
  <si>
    <t>Уменьшение стоимости</t>
  </si>
  <si>
    <t>Списание амортизации (износа)</t>
  </si>
  <si>
    <t>ЖБО</t>
  </si>
  <si>
    <t>Линейный способ</t>
  </si>
  <si>
    <t>01.01</t>
  </si>
  <si>
    <t>общецех</t>
  </si>
  <si>
    <t>Машина вакуумная 520, ЗИЛ 508.004 Y023481 Е 282ЕХ44, 000003781, 06.12.2012</t>
  </si>
  <si>
    <t>основные вода</t>
  </si>
  <si>
    <t>Водопроводная сеть чугунная 200 мм. 1520 п.м ул.ХХ11 Партсъезда; ул. Октябрьская- от маг. "Детский м, 000000645, 01.03.2010</t>
  </si>
  <si>
    <t>Водопроводная сеть чугунная 200 мм. 800 п.м ул.Ломоносова; ул.Нерехтская -от ул.Ломоносова до ул.ХХ1, 000000646, 01.03.2010</t>
  </si>
  <si>
    <t>Водопроводная сеть чугунная 250 мм.352 п.м ул.Южная -от ул. Герцена до ул. С. Ковалевской., 000000647, 01.03.2010</t>
  </si>
  <si>
    <t>Водопроводная сеть чугунная 50 мм.3615 п.м. ул. ХХ11 Партсъезда-300 м.; ул. Полевая-80 м.;ул.Щорса-2, 000000648, 01.03.2010</t>
  </si>
  <si>
    <t>Водопроводная сеть стальная Ф 600мм.: от станции 11 подъема до распределительной камеры 380 п.м. (в , 000000649, 01.03.2010</t>
  </si>
  <si>
    <t>Водопроводная сеть чугунная 65 мм. 300 п.м. ул. Больничная -от ул. ХХ11 Партсъезда до пр. Текстильщи, 000000650, 01.03.2010</t>
  </si>
  <si>
    <t>Водопроводная сеть чугунная 65мм./100мм –ул.Фрунзе 59/37 п.м., 000000651, 01.03.2010</t>
  </si>
  <si>
    <t>Водопроводная сеть чугунная д-150 мм.-ул.Горького- от ул.Дзержинского до ул.Крестьянская 95 п.м., 000000652, 01.03.2010</t>
  </si>
  <si>
    <t>Водопроводная сеть чугунная д-200 ,147,5 п.м. перемычка от ул.Кирова на ул.Дружбы, 000000653, 01.03.2010</t>
  </si>
  <si>
    <t>Водопроводная сеть чугунная д-65-ул.Кирова-от пруда до дома №25 64,5 п.м., 000000654, 01.03.2010</t>
  </si>
  <si>
    <t>Водопроводная сеть чугунная Д-100-ввод в насосную станцию по ул.Нерехтская 26 п.м., 000000655, 01.03.2010</t>
  </si>
  <si>
    <t>6</t>
  </si>
  <si>
    <t>7</t>
  </si>
  <si>
    <t>8</t>
  </si>
  <si>
    <t>9</t>
  </si>
  <si>
    <t>10</t>
  </si>
  <si>
    <t>11</t>
  </si>
  <si>
    <t>12</t>
  </si>
  <si>
    <t>13</t>
  </si>
  <si>
    <t>3</t>
  </si>
  <si>
    <t>Темп изменения (принимаемый)</t>
  </si>
  <si>
    <t>темп изменения относительно предыдущего периода, %</t>
  </si>
  <si>
    <t>земельные участки (КУМИ)</t>
  </si>
  <si>
    <t xml:space="preserve">в том числе </t>
  </si>
  <si>
    <t>предложение 2016</t>
  </si>
  <si>
    <t>численность ремонтного персонала, относимого на регулируемый вид деятельности (из цеховых)</t>
  </si>
  <si>
    <t>ИТР СВХ</t>
  </si>
  <si>
    <t xml:space="preserve">ср.з.пл.АУП </t>
  </si>
  <si>
    <t xml:space="preserve"> Потребность в оборудовании (Заявка)</t>
  </si>
  <si>
    <t>прибыль на капитальные вложения (приобретение ОС)</t>
  </si>
  <si>
    <t>прибыль на поощрение (материальная помощь к отпуску+ социальное развитие)</t>
  </si>
  <si>
    <t>прибыль на прочие цели (расход по сомнительным долгам+процент за пользование кредитом)</t>
  </si>
  <si>
    <t>итого общецеховые затраты на водоснабжение</t>
  </si>
  <si>
    <t>прямые цеховые затраты (СВХ)</t>
  </si>
  <si>
    <t>Водопроводная сеть чугунная 100 мм. 527 п.м. ул.Дружбы-от ул. Лобанова до пруда, 000000634, 01.03.2010</t>
  </si>
  <si>
    <t>Водопроводная сеть чугунная 100 мм. 542 п.м. ул.Железнодорожная -от ул.Кирова до дома №32, ул. Лунач, 000000635, 01.03.2010</t>
  </si>
  <si>
    <t>Водопроводная сеть чугунная 100 мм.5130 п.м. ул.Герцена; от школы №1 до ОСК; ул.Гоголя -от ул. К.Арм, 000000636, 01.03.2010</t>
  </si>
  <si>
    <t>Водопроводная сеть чугунная 100 мм.876 п.м. ул. ХХ11 Партсъезда от ул. Новокрасноармейская до ул. К., 000000637, 01.03.2010</t>
  </si>
  <si>
    <t>Водопроводная сеть чугунная 125 мм.1000 п.м. ул. А.Смирнова, 000000638, 01.03.2010</t>
  </si>
  <si>
    <t>Водопроводная сеть а/б 150 мм. 2053,5 п.м. ул. Новинская; ул. Р. Люксембург- от ул.Ленина до ул, 000000639, 01.03.2010</t>
  </si>
  <si>
    <t>Водопроводная сеть чугунная 150 мм. 650 п.м. ул.К.Либкнехта -от ул. Победы до пер.Свердлова; пер. Св, 000000640, 01.03.2010</t>
  </si>
  <si>
    <t>Аэротенки, 000000601, 01.03.2010</t>
  </si>
  <si>
    <t>Аэротенки, 000000602, 01.03.2010</t>
  </si>
  <si>
    <t>Блок производственного помещения ул.Дружбы, 000000606, 01.03.2010</t>
  </si>
  <si>
    <t>Внутриплощадочные коммуникации-ОСК ул.Дружбы, 000000609, 01.03.2010</t>
  </si>
  <si>
    <t>Гараж на ОСК ул. Дружбы, 000000660, 01.03.2010</t>
  </si>
  <si>
    <t>Гараж на ОСК ул. Дружбы, 000000661, 01.03.2010</t>
  </si>
  <si>
    <t>Здание хлораторной ул.Дружбы, 000000664, 01.03.2010</t>
  </si>
  <si>
    <t>Здания КНС /ул.Кр.Армии/, 000000665, 01.03.2010</t>
  </si>
  <si>
    <t>Канализ.сеть  а/ц 300 мм.  86,5 п.м. ул.Дружбы от дома №1 до дома №2, 000000666, 01.03.2010</t>
  </si>
  <si>
    <t>Канализ.сеть а/ц 200 мм,  76,7 п.м.ул.Дружбы от д.№ 8 до д.№33, 000000667, 01.03.2010</t>
  </si>
  <si>
    <t>Канализ.сеть а/ц 200 мм.  56,5 п.м. ул. Дружбы от д.№5 до д,№7, 000000668, 01.03.2010</t>
  </si>
  <si>
    <t>Канализ.сеть а/ц 300 мм.  50,2 п,м, ул.Дружбы от д.№4 до д.№5, 000000669, 01.03.2010</t>
  </si>
  <si>
    <t>Канализ.сеть керамич. 200 мм- 225пм ул.А.Смирнова д.20 до ул.Лобанова, 000000670, 01.03.2010</t>
  </si>
  <si>
    <t>Канализ.сеть керамич.150 мм. 100 п.м. ул.Металлистов от маг. "Детский мир" до ул. Победы, 000000671, 01.03.2010</t>
  </si>
  <si>
    <t>Канализ.сеть железобетон. Ф500 мм,  1329,5 п,м, от завода "Термопласт" до пер. Свердлова, 000000672, 01.03.2010</t>
  </si>
  <si>
    <t>Канализ.сеть керамич.400мм - 1502 пм ул.Ленина-от АООТ "Нерта" до пл. Свободы, 000000673, 01.03.2010</t>
  </si>
  <si>
    <t>Канализ.сеть п/э 225 мм. 150 п.м. От гостиницы"Октябрь" до маг. №52, 000000674, 01.03.2010</t>
  </si>
  <si>
    <t>Канализ.сеть чугун. 300 мм.   225 п.м. ул. Лапина (кроме дворовой), 000000675, 01.03.2010</t>
  </si>
  <si>
    <t>Канализ.сеть чугун.150 мм. 88,5 п.м. ул. Энергетиков- от базы Электросетей до КНС механического заво, 000000676, 01.03.2010</t>
  </si>
  <si>
    <t>Канализ.сеть чугун.200 мм.   227 п.м. ул. Мира от д.№25- перекресток ул. А.Смирнова- Мира, 000000677, 01.03.2010</t>
  </si>
  <si>
    <t>Канализ.сеть чугун.250 мм. 76 п.м. От ул.К.Либкнехта д.24 (последний колодец) до центр. линии, 000000678, 01.03.2010</t>
  </si>
  <si>
    <t>Канализ.сеть чугун.300 мм.   345 п.м.ул.А.Смирнова от д.№2 до д.№18, 000000679, 01.03.2010</t>
  </si>
  <si>
    <t>Канализ.сеть чугун.300 мм.   620 п.м.ул.Урицкого-от ст.роддома до КНС-5, 000000680, 01.03.2010</t>
  </si>
  <si>
    <t>Канализ.сеть чугун.300 мм.   850 п.м.ул.Нерехтская-от ЦРБ до ул.ХХП Партсъезда, 000000681, 01.03.2010</t>
  </si>
  <si>
    <t>Канализ.сеть чугун.300 мм.  560 п.м.ул.Лобанова-от ул.Мира до ул.Дружбы, 000000682, 01.03.2010</t>
  </si>
  <si>
    <t>Канализ.сеть чугун.300 мм.  Ул.Победы от маг.№52 до перекрестка ул.Металлистов-Победы, 000000683, 01.03.2010</t>
  </si>
  <si>
    <t>Канализ.сеть чугунная 218,15 п.м  от ул.Кутузова до ул.Чехова, 000000684, 01.03.2010</t>
  </si>
  <si>
    <t>Канализац.сеть а/ц 150 мм.  14,7 п.м. от гаража ОСК, 000000685, 01.03.2010</t>
  </si>
  <si>
    <t>Канализац.сеть а/ц 300 мм.ул.Дружбы-база ОСК 675пм, 000000686, 01.03.2010</t>
  </si>
  <si>
    <t>Канализац.сеть керамич.200 мм. 633,4 п.м.от ул.Пролетарская,49 до ул.Бебеля, 000000687, 01.03.2010</t>
  </si>
  <si>
    <t>Канализационная сеть  12,5 п.м. по ул.Пролетарская,43 от колодца К2 к К1 Д200, 000000688, 01.03.2010</t>
  </si>
  <si>
    <t>Канализационная сеть а/ц д-150мм.от ул.Чкалова,20 до ул.Пролетарская,49 100,8 п.м., 000000689, 01.03.2010</t>
  </si>
  <si>
    <t>Канализационная сеть а/ц д-300мм. –ул.1-я Рабочая,д.6   20,5п.м., 000000690, 01.03.2010</t>
  </si>
  <si>
    <t>Канализационная сеть керамическая д-150мм. От  ул.Кирова (последний колодец) ул.К.Либкнехта до центр, 000000691, 01.03.2010</t>
  </si>
  <si>
    <t>№ А31-9393/2011-3036</t>
  </si>
  <si>
    <t>"Нерехтчанка"№ А31-7178/2010</t>
  </si>
  <si>
    <t>14</t>
  </si>
  <si>
    <t>Налоги и сборы, относимые в себестоимость:</t>
  </si>
  <si>
    <t>отчисления на соц. нужды от заработной платы прочего общехозяйственного персонала</t>
  </si>
  <si>
    <t>Оплата труда прочего персонала</t>
  </si>
  <si>
    <t>в тариф с корр. На ИПЦ</t>
  </si>
  <si>
    <t>за счет ам.отч.</t>
  </si>
  <si>
    <t>% потерь</t>
  </si>
  <si>
    <t xml:space="preserve">услуги сторонних организаций(лабораторные исследования) </t>
  </si>
  <si>
    <t>Страхование гражданской ответственности за нарушение договорных обязательств</t>
  </si>
  <si>
    <t>повышение квалификации, переаттестация ИТР</t>
  </si>
  <si>
    <t>Вывоз ТБО</t>
  </si>
  <si>
    <t>расходы на использование программы</t>
  </si>
  <si>
    <t>Выпадающие доходы в соответствии с приказом ФСТ России № 1539-Д от 25 сентября 2014 г.</t>
  </si>
  <si>
    <t>ФОТ</t>
  </si>
  <si>
    <t>Водопроводная сеть  240 м, д/а 100мм , (г. Нерехта, ул. 1-я Текстильная от ул. 22-го Партсъезда до ), 000001804, 01.03.2011</t>
  </si>
  <si>
    <t>Водопроводная сеть  300м, д/а 100мм , (г. Нерехта, ул. 1-я Текстильная от ул. 22-го Партсъезда до пр, 000001805, 01.03.2011</t>
  </si>
  <si>
    <t>Водопроводная сеть  150м, д/а 50мм ,  (г. Нерехта, ул. Тимирязева от ул. С. Ковалевской до ул. Чехов, 000001806, 01.03.2011</t>
  </si>
  <si>
    <t>Водопроводная сеть  350м, д/а 50мм ,  (г. Нерехта, г. Нерехта, ул. Терешковой ), 000001807, 01.03.2011</t>
  </si>
  <si>
    <t>Водопроводная сеть  645м, д/а 50мм ,  (г. Нерехта, г. Нерехта, ул. Фадеева ), 000001808, 01.03.2011</t>
  </si>
  <si>
    <t>Водопроводная сеть  532,5м, д/а 100мм ,  (г. Нерехта, ул. К. Цеткин от ул. Горького до ул. Нерехтско, 000001809, 01.03.2011</t>
  </si>
  <si>
    <t>Водопроводная сеть  460м, д/а 50мм , (г. Нерехта, ул. Чехова от ул. Южной до ул. Тимирязева), 000001810, 01.03.2011</t>
  </si>
  <si>
    <t>Итого Транспортный участок (без учета водителя на ЖБО)</t>
  </si>
  <si>
    <t>старший мастер АВР службы</t>
  </si>
  <si>
    <t>всего по цеховому персоналу:</t>
  </si>
  <si>
    <t>прямы на воду</t>
  </si>
  <si>
    <t>прямы на стоки</t>
  </si>
  <si>
    <t>общецеховые (распределяются пропорционально заработной плате основных рабочих)</t>
  </si>
  <si>
    <t>численность (чел.)</t>
  </si>
  <si>
    <t>Фонд</t>
  </si>
  <si>
    <t>ФОТ (за 11 мес.)</t>
  </si>
  <si>
    <t>Вознаграждение за выслугу лет(10%)</t>
  </si>
  <si>
    <t>Всего общехозяйственного персонала</t>
  </si>
  <si>
    <t>на прочие виды деятельности</t>
  </si>
  <si>
    <t>справочно</t>
  </si>
  <si>
    <t>Заместитель исполнительного директора по реализации</t>
  </si>
  <si>
    <t xml:space="preserve">Советник исполнительного директора </t>
  </si>
  <si>
    <t>ШАРЬЯ</t>
  </si>
  <si>
    <t>НЕРЕХТА</t>
  </si>
  <si>
    <t>ГАЛИЧ</t>
  </si>
  <si>
    <t>% распр-я между представительствами</t>
  </si>
  <si>
    <t>ФОНД ОСНОВНЫХ</t>
  </si>
  <si>
    <t>цеховые</t>
  </si>
  <si>
    <t xml:space="preserve">основные </t>
  </si>
  <si>
    <t>основный  (20 счет)</t>
  </si>
  <si>
    <t>транспортная</t>
  </si>
  <si>
    <t>аварийная</t>
  </si>
  <si>
    <t>абонентский</t>
  </si>
  <si>
    <t>аппарат управления</t>
  </si>
  <si>
    <t>транспортный участок (Вси ВО)</t>
  </si>
  <si>
    <t>всего численность цехового персонала</t>
  </si>
  <si>
    <t>КОСТРОМА ЧИСЛЕННОСТЬ ФАКТ</t>
  </si>
  <si>
    <t>ВОДА</t>
  </si>
  <si>
    <t>численность АУП, (прямые на представительство)ед.</t>
  </si>
  <si>
    <t>чел. АУП ООО "Водоканалсервис"</t>
  </si>
  <si>
    <t>АУП всего на регулируемый вид деят.чел.</t>
  </si>
  <si>
    <t>Оплата труда АУП  (прямые на представительство)</t>
  </si>
  <si>
    <t>ФОТ АУП  (прямые на представительство)</t>
  </si>
  <si>
    <t>Единица
измерения</t>
  </si>
  <si>
    <t>факт</t>
  </si>
  <si>
    <t>ожид</t>
  </si>
  <si>
    <t>Метантенки, 000000705, 01.03.2010</t>
  </si>
  <si>
    <t>Метантенки, 000000706, 01.03.2010</t>
  </si>
  <si>
    <t>Напорный коллектор чугун.150 мм.  409 п.м. ул.Кр.Армии от дома №63 до дома №75, 000000707, 01.03.2010</t>
  </si>
  <si>
    <t>Напорный коллектор,трубы чугун.100 мм.  2х240  ПМК-1-Автошкола, 000000708, 01.03.2010</t>
  </si>
  <si>
    <t>Наружный коллектор,трубы Д. от200-600мм м-н №52  до ОСК  3 км., 000000710, 01.03.2010</t>
  </si>
  <si>
    <t>Насосная станция КНС, 000000716, 01.03.2010</t>
  </si>
  <si>
    <t>Отстойник, 000000718, 01.03.2010</t>
  </si>
  <si>
    <t>Отстойник, 000000719, 01.03.2010</t>
  </si>
  <si>
    <t>Отстойник, 000000720, 01.03.2010</t>
  </si>
  <si>
    <t>Отстойник, 000000721, 01.03.2010</t>
  </si>
  <si>
    <t>Преобразователь частоты ПЧ-ТТПТ-125-380-50-02 УХЛ4 N 0361, 000000723, 01.03.2010</t>
  </si>
  <si>
    <t>Пристройка ОСК /гараж/ ул.Дружбы, 000000727, 01.03.2010</t>
  </si>
  <si>
    <t>Пристройка ОСК /гараж/ ул.Дружбы, 000000728, 01.03.2010</t>
  </si>
  <si>
    <t>Пристройка ОСК /гараж/ ул.Дружбы, 000000729, 01.03.2010</t>
  </si>
  <si>
    <t>Пристройка ОСК /гараж/ ул.Дружбы, 000000730, 01.03.2010</t>
  </si>
  <si>
    <t>Самотечный коллектор /ул.Дружбы 11-ул.Лобан./600пм, 000000735, 01.03.2010</t>
  </si>
  <si>
    <t>в пределах i-го объема</t>
  </si>
  <si>
    <t>По абонентам:</t>
  </si>
  <si>
    <t>6.4.1.1</t>
  </si>
  <si>
    <t>Отпуск технической воды</t>
  </si>
  <si>
    <t>7.1</t>
  </si>
  <si>
    <t>Объем воды, отпущенной абонентам</t>
  </si>
  <si>
    <t>7.2</t>
  </si>
  <si>
    <t>7.2.1</t>
  </si>
  <si>
    <t>7.3</t>
  </si>
  <si>
    <t>По абонентам</t>
  </si>
  <si>
    <t>7.3.1</t>
  </si>
  <si>
    <t>другим организациям, осуществляющим водоснабжение</t>
  </si>
  <si>
    <t>7.3.1.1</t>
  </si>
  <si>
    <t>организация 1</t>
  </si>
  <si>
    <t>7.3.1.2</t>
  </si>
  <si>
    <t>организация 2</t>
  </si>
  <si>
    <t>7.3.1.n</t>
  </si>
  <si>
    <t>организация n</t>
  </si>
  <si>
    <t>7.3.2</t>
  </si>
  <si>
    <t>собственным абонентам</t>
  </si>
  <si>
    <t>Отпуск горячей воды</t>
  </si>
  <si>
    <t>8.1</t>
  </si>
  <si>
    <t>8.2.1</t>
  </si>
  <si>
    <t>8.2.2</t>
  </si>
  <si>
    <t>8.3.1</t>
  </si>
  <si>
    <t>в соответствии с санитарными нормами</t>
  </si>
  <si>
    <t>8.3.2</t>
  </si>
  <si>
    <t>с нарушениями санитарных норм</t>
  </si>
  <si>
    <t>8.3.2.1</t>
  </si>
  <si>
    <t>по температуре</t>
  </si>
  <si>
    <t>8.3.2.2</t>
  </si>
  <si>
    <t>по качеству воды</t>
  </si>
  <si>
    <t>8.4</t>
  </si>
  <si>
    <t>8.4.1</t>
  </si>
  <si>
    <t>8.5</t>
  </si>
  <si>
    <t>8.5.1</t>
  </si>
  <si>
    <t>8.5.1.1</t>
  </si>
  <si>
    <t>8.5.1.2</t>
  </si>
  <si>
    <t>8.5.1.n</t>
  </si>
  <si>
    <t>8.5.2</t>
  </si>
  <si>
    <t>Объем воды, отпускаемой новым абонентам</t>
  </si>
  <si>
    <t>9.1</t>
  </si>
  <si>
    <t>Увеличение отпуска питьевой воды в связи с подключением абонентов</t>
  </si>
  <si>
    <t>9.2</t>
  </si>
  <si>
    <t>Снижение отпуска питьевой воды в связи с прекращением водоснабжения</t>
  </si>
  <si>
    <t>Изменение объема отпуска питьевой воды в связи с изменением нормативов потребления и установкой приборов учета</t>
  </si>
  <si>
    <t>Темп изменения потребления воды</t>
  </si>
  <si>
    <t>Прием сточных вод</t>
  </si>
  <si>
    <t>в пределах норматива по объему</t>
  </si>
  <si>
    <t>1.1.2</t>
  </si>
  <si>
    <t>сверх норматива по объему</t>
  </si>
  <si>
    <t>По категориям сточных вод:</t>
  </si>
  <si>
    <t>1.2.1</t>
  </si>
  <si>
    <t>жидких бытовых отходов</t>
  </si>
  <si>
    <t>1.2.2</t>
  </si>
  <si>
    <t>поверхностных сточных вод</t>
  </si>
  <si>
    <t>1.2.2.1</t>
  </si>
  <si>
    <t>от абонентов, которым установлены тарифы</t>
  </si>
  <si>
    <t>1.2.2.2</t>
  </si>
  <si>
    <t>от других абонентов</t>
  </si>
  <si>
    <t>1.2.3</t>
  </si>
  <si>
    <t>у нормируемых абонентов</t>
  </si>
  <si>
    <t>1.2.4</t>
  </si>
  <si>
    <t>у многоквартирных домов и приравненных к ним</t>
  </si>
  <si>
    <t>1.2.</t>
  </si>
  <si>
    <t>1.3.1</t>
  </si>
  <si>
    <t>от других организаций, осуществляющих водоотведение</t>
  </si>
  <si>
    <t>1.3.1.1</t>
  </si>
  <si>
    <t>1.3.1.2</t>
  </si>
  <si>
    <t>1.3.1.n</t>
  </si>
  <si>
    <t>1.3.2</t>
  </si>
  <si>
    <t>от собственных абонентов</t>
  </si>
  <si>
    <t>Неучтенный приток сточных вод</t>
  </si>
  <si>
    <t>1.4.1</t>
  </si>
  <si>
    <t>Организованный приток</t>
  </si>
  <si>
    <t>1.4.2</t>
  </si>
  <si>
    <t>Неорганизованный приток</t>
  </si>
  <si>
    <t>1.5</t>
  </si>
  <si>
    <t>Поступило с территорий,
дифференцированных по тарифу</t>
  </si>
  <si>
    <t>Другим организациям</t>
  </si>
  <si>
    <t>Объем сточных вод, поступивших на очистные сооружения</t>
  </si>
  <si>
    <t>Объем обезвоженного осадка сточных вод</t>
  </si>
  <si>
    <t>Темп изменения объема отводимых сточных вод</t>
  </si>
  <si>
    <t>2014</t>
  </si>
  <si>
    <t>2016</t>
  </si>
  <si>
    <t>% распр-я АУП (общехозяйственных)</t>
  </si>
  <si>
    <t>ФЗП</t>
  </si>
  <si>
    <t>КОСТРОМСКИЕ ПОДРАЗДЕЛЕНИЯ</t>
  </si>
  <si>
    <t>цеховые (25 счет)</t>
  </si>
  <si>
    <t>общехозяйственные (26 счет)</t>
  </si>
  <si>
    <t>дог. аренды транспорта
 МУП "Дом быта"</t>
  </si>
  <si>
    <t>КСК ОАО</t>
  </si>
  <si>
    <t>Энергосервис ООО</t>
  </si>
  <si>
    <t>Русэнергокапитал УК ОАО</t>
  </si>
  <si>
    <t>Кэ</t>
  </si>
  <si>
    <t xml:space="preserve">аренда расчет </t>
  </si>
  <si>
    <t xml:space="preserve"> КСК 01-4/56(2014)</t>
  </si>
  <si>
    <t xml:space="preserve">Аренда транспорта HYUNDAI HD 320, номер О162АХ  </t>
  </si>
  <si>
    <t xml:space="preserve">заявки по лаборатории, СВХ расчет( учетом роста на ИПЦ) </t>
  </si>
  <si>
    <t>Статьи калькуляции</t>
  </si>
  <si>
    <t>Факт за 2013 год</t>
  </si>
  <si>
    <t>Факт за 2014 год</t>
  </si>
  <si>
    <t>План на 2015  год (утверждено в  тарифе)</t>
  </si>
  <si>
    <t>План предприятия на 2016 год</t>
  </si>
  <si>
    <t>Объем потреб-ленной энергии (тыс.кВт.ч)</t>
  </si>
  <si>
    <t>Тариф (руб./   кВтч)</t>
  </si>
  <si>
    <t>Затраты (тыс.руб.)</t>
  </si>
  <si>
    <t>Тариф (руб./     кВтч)</t>
  </si>
  <si>
    <t>Электроэнергия на производственно-технологические нужды, в т.ч.:</t>
  </si>
  <si>
    <t>СН2</t>
  </si>
  <si>
    <t xml:space="preserve">НН </t>
  </si>
  <si>
    <t>% распределения общехозяйственных</t>
  </si>
  <si>
    <t>Стол переговорный П-Консул, 000001153, 01.10.2010</t>
  </si>
  <si>
    <t>Стол  П-Консул, 000001154, 01.10.2010</t>
  </si>
  <si>
    <t>Тумба П-Консул, 000001155, 01.10.2010</t>
  </si>
  <si>
    <t>Шкаф комбинированный П-Консул, 000001156, 01.10.2010</t>
  </si>
  <si>
    <t>Итого по ведомости:</t>
  </si>
  <si>
    <t>На регулируемую деятельность:</t>
  </si>
  <si>
    <t>плановая сумма амортизационных отчислений, руб.в 2016  
(тыс.руб.)</t>
  </si>
  <si>
    <t>АВР</t>
  </si>
  <si>
    <t>план оборудования к установке в  2015 (кап. вложения) счет 07</t>
  </si>
  <si>
    <t>план приобретения основного оборудования 2016  (кап. вложения)</t>
  </si>
  <si>
    <t>срок полезного использования, мес.</t>
  </si>
  <si>
    <t>плановая сумма амортизационных отчислений, руб.в на мес.</t>
  </si>
  <si>
    <t>Годовая сумма амортизационных отчислений, руб.</t>
  </si>
  <si>
    <t>Срок полезного использования, мес.</t>
  </si>
  <si>
    <t>плановая сумма амортизационных отчислений, руб.в 2016 (с учетом кап.вложений)</t>
  </si>
  <si>
    <t xml:space="preserve">Затвор 32ч926р Ду 600 Ру10 </t>
  </si>
  <si>
    <t>Насос СДВ 80/18</t>
  </si>
  <si>
    <t xml:space="preserve">Насос СМ 125-100-250/4 15 кВт 1450 </t>
  </si>
  <si>
    <t>Насос GRUNDFOS СRT 2-2 AUUE</t>
  </si>
  <si>
    <t xml:space="preserve">Преобразователь частоты "Веспер" ЕI-P </t>
  </si>
  <si>
    <t>Электропривод с односторонней муфтой типа В-06</t>
  </si>
  <si>
    <t>Устройство плавного пуска ДМС2-015Н 11</t>
  </si>
  <si>
    <t xml:space="preserve">Насос GRUNDFOS СRT 2-5 в титане </t>
  </si>
  <si>
    <t xml:space="preserve">Устройство плавного пуска ДМС2-020Н 15 </t>
  </si>
  <si>
    <t>Контейнеры для ГПХН емк. 3000 л.</t>
  </si>
  <si>
    <t xml:space="preserve">итого </t>
  </si>
  <si>
    <t>Решётка механическая «экотон»</t>
  </si>
  <si>
    <t>Транспортировка воды (СВХ)</t>
  </si>
  <si>
    <t>Транспортировка воды (СВХ) Нерехтское представительство</t>
  </si>
  <si>
    <t>сумма амортизация на 2015</t>
  </si>
  <si>
    <t>план в 2015</t>
  </si>
  <si>
    <t>Остаточная стоимость на конец 2015 г</t>
  </si>
  <si>
    <t>постановка на учет нового оборудования 2015 (тыс.руб.)</t>
  </si>
  <si>
    <t>база
 (тыс.руб.)</t>
  </si>
  <si>
    <t>постановка на учет нового оборудования 2016 (тыс.руб.)</t>
  </si>
  <si>
    <t xml:space="preserve">Остаточная стоимость ОС </t>
  </si>
  <si>
    <t>Среднегодовая остаточная стоимость  ОС</t>
  </si>
  <si>
    <t>Ставка налога на имущество , %</t>
  </si>
  <si>
    <t>Налог на имущество</t>
  </si>
  <si>
    <t>Прибыль на поощрение (МП к отпуску+ социальное развитие)</t>
  </si>
  <si>
    <t>ПРИНЯТИЕ В 2015</t>
  </si>
  <si>
    <t>ОГУП Ивановский центр энергосбережения</t>
  </si>
  <si>
    <t>2017</t>
  </si>
  <si>
    <t>2018</t>
  </si>
  <si>
    <t>расчет( с учетом роста на ИПЦ) (ОГБУЗ Нерехтская ЦРБ  2 743,93)  Основание: приказ МЗ и СР РФ от 12.04.2011 №302н «Об утверждении вредных и(или)  опасных производственных факторов и работ, при выполнении которых проводятся предварительные и периодические медицинские осмотры (обследования), и порядка проведения этих осмотров (обследований)».</t>
  </si>
  <si>
    <t>Обучение лаборантов хим.-бак. анализа ОСВХ по курсу «Требования биологической безопасности при работе в микробиологических лабораториях»</t>
  </si>
  <si>
    <t>с учетом факта 2014 года и ИПЦ</t>
  </si>
  <si>
    <t>по факту с учетом ИПЦ  дог. № 01-3/114 (2015) от 28.01.2015 г  Станция агрохимической службы "Костромская  ФГБУ ГСАС "Костромская"</t>
  </si>
  <si>
    <t>№ А31-9393/2011</t>
  </si>
  <si>
    <t>Инвест-проект ЗАО
договор №306/11/04/351(2011) от 01.09.201(факт  2014 с учетом  индекса роста поставщика)</t>
  </si>
  <si>
    <t>в том числе технологические нужды</t>
  </si>
  <si>
    <t>текущий ремонт</t>
  </si>
  <si>
    <t>ПЛАН НА 2016</t>
  </si>
  <si>
    <t>ФАКТ  2014</t>
  </si>
  <si>
    <t xml:space="preserve">
договор №04-1/19 (2010) от 01.03.2010г. ЕИРКЦ ОАО (4% от плановой выручки населения)
</t>
  </si>
  <si>
    <t>в план 2016 учитываются суммы  по невзыскаемым долгам по определению суда</t>
  </si>
  <si>
    <t>Всего выпадающие доходы</t>
  </si>
  <si>
    <t>Насос НД 2..5 630/10 К 14 А с двиг 1.1 кВт N 0232, 000000975, 01.03.2010</t>
  </si>
  <si>
    <t>Насос СДВ 80/18 на КНС 0075_1, 000000977, 01.03.2010</t>
  </si>
  <si>
    <t>Насос СДВ 80/18 на КНС 0076_1, 000000978, 01.03.2010</t>
  </si>
  <si>
    <t>Насос-200 Д-90 0086_1, 000000983, 01.03.2010</t>
  </si>
  <si>
    <t>Насосный агрегат Д320/70 0087_1, 000000984, 01.03.2010</t>
  </si>
  <si>
    <t>Паяльная станция SL - 916, 000000989, 01.03.2010</t>
  </si>
  <si>
    <t>Преобразователь давления, 000000992, 01.03.2010</t>
  </si>
  <si>
    <t>Преобразователь давления, 000000993, 01.03.2010</t>
  </si>
  <si>
    <t>Преобразователь частоты ПЧ-ТТПТ-31,5-380-50-02 УХЛ4 N 0238, 000000994, 01.03.2010</t>
  </si>
  <si>
    <t>Сверлильный станок 2А-125 0093_1, 000000997, 01.03.2010</t>
  </si>
  <si>
    <t>Станок универсально-фрезерной N 0094_1, 000001000, 01.03.2010</t>
  </si>
  <si>
    <t>Счетчик-расходомер "Фотон" N 0103_1, 000001015, 01.03.2010</t>
  </si>
  <si>
    <t>Насос 200 д-90 с электродвигателем 0060_1, 000001033, 01.03.2010</t>
  </si>
  <si>
    <t>Насос К80-50-200 15,0 кВт, 000001083, 08.07.2010</t>
  </si>
  <si>
    <t>Расходомер-счетчик "Днепр" на чистую воду, 000001158, 20.12.2010</t>
  </si>
  <si>
    <t>Водопровод на пл. 30-летия Победы, полиэтилен, диам. - 50мм, протяж. - 40,9 м., 000000613, 01.03.2010</t>
  </si>
  <si>
    <t>Водопровод ул.Дружбы, 000000614, 01.03.2010</t>
  </si>
  <si>
    <t>Водопровод. сеть стальная с колодцем 260 п.м. ул.Новая, 000000615, 01.03.2010</t>
  </si>
  <si>
    <t>Водопроводная сеть чугунная 150 мм. 95 п.м. по ул.Горького -от ул.Дзержинского до ул.Крестьянская, 000000641, 01.03.2010</t>
  </si>
  <si>
    <t>Водопроводная сеть чугунная 150 мм.456 п.м ул. Володарского., 000000642, 01.03.2010</t>
  </si>
  <si>
    <t>Водопроводная сеть чугунная 150 мм.456 п.м. ул.Урицкого -от ул. Кирова до ул. Гагарина с проходом по, 000000643, 01.03.2010</t>
  </si>
  <si>
    <t>Водопроводная сеть чугунная 150 мм.8810 п.м. ул.Ленина- от маг.№13 до АО "Нерта";ул.Победы, ул.Орехо, 000000644, 01.03.2010</t>
  </si>
  <si>
    <t>по факту за  2014 г. с учетом роста 40%, с учетом   ИПЦ</t>
  </si>
  <si>
    <t>план расходов на оплату негативного воздействия на окр. среду (инженер по охране)</t>
  </si>
  <si>
    <t>Доп.отпуск</t>
  </si>
  <si>
    <t>отпуск</t>
  </si>
  <si>
    <t>Вознаграждение за выслугу лет</t>
  </si>
  <si>
    <t>Премия 75%</t>
  </si>
  <si>
    <t>Вознаграждение по итогам работы за год</t>
  </si>
  <si>
    <t>Всего ФОТ за год руб</t>
  </si>
  <si>
    <t>Ср.з/пл в месяц с ИПЦ</t>
  </si>
  <si>
    <t>подъем воды</t>
  </si>
  <si>
    <t>машинист насосных установок</t>
  </si>
  <si>
    <t>слесарь КИПиА</t>
  </si>
  <si>
    <t>электромонтер по ремонту и обслуживанию</t>
  </si>
  <si>
    <t>очистка воды</t>
  </si>
  <si>
    <t>оператор электролизных установок</t>
  </si>
  <si>
    <t>оператор на фильтрах</t>
  </si>
  <si>
    <t>Итого</t>
  </si>
  <si>
    <t>Водоотведение</t>
  </si>
  <si>
    <t>Доплата за работу в праздники</t>
  </si>
  <si>
    <t>перекачка ст.жидкости</t>
  </si>
  <si>
    <t>оператор на решетке (ГНС)</t>
  </si>
  <si>
    <t xml:space="preserve">оператор на решетке </t>
  </si>
  <si>
    <t>эл.монтер по рем.и обсл.об-я</t>
  </si>
  <si>
    <t>очистка ст.жидкости</t>
  </si>
  <si>
    <t>оператор хлораторных установок</t>
  </si>
  <si>
    <t>оператор на песколовках и жироловках</t>
  </si>
  <si>
    <t>оператор на отстойнике</t>
  </si>
  <si>
    <t>обходчик водопроводно — канализационных сетей</t>
  </si>
  <si>
    <t>Вред-ность 4%, 8%</t>
  </si>
  <si>
    <t>ФОТ с учетом ИПЦ</t>
  </si>
  <si>
    <t>% распр-я (цеховых)</t>
  </si>
  <si>
    <t>чел.</t>
  </si>
  <si>
    <t>Цеховые расходы ОСВ</t>
  </si>
  <si>
    <t xml:space="preserve">Ночные   40%  с премией </t>
  </si>
  <si>
    <t>Компенсация взамен выдачи молока</t>
  </si>
  <si>
    <t>Вознаграждение за выслугу лет 5-10%</t>
  </si>
  <si>
    <t>Вознаграждение по итогам работы за год (0,083-0,108)</t>
  </si>
  <si>
    <t>начальник станции</t>
  </si>
  <si>
    <t>зам.начальника станции</t>
  </si>
  <si>
    <t>мастер</t>
  </si>
  <si>
    <t>начальник хим-бакт.лаборатории</t>
  </si>
  <si>
    <t>всего:</t>
  </si>
  <si>
    <t>слесарь-ремонтник</t>
  </si>
  <si>
    <t>лаборант химико-бактериологического анализа 3 разряда</t>
  </si>
  <si>
    <t>лаборант химико-бактериологического анализа 4 разряда</t>
  </si>
  <si>
    <t>Окладная часть   руб</t>
  </si>
  <si>
    <t>Исполнительный директор _____________________________________________________________________________________________________________________А.В. Иванов</t>
  </si>
  <si>
    <t>утверждено ДРЦ и Т</t>
  </si>
  <si>
    <t>по концессионному соглашению (КУМИ)</t>
  </si>
  <si>
    <t>ремонт текущего хар-ра</t>
  </si>
  <si>
    <t>Оплата АУП</t>
  </si>
  <si>
    <t>руб.</t>
  </si>
  <si>
    <t xml:space="preserve"> Блескина О.Ю.</t>
  </si>
  <si>
    <t xml:space="preserve">  исполнитель:</t>
  </si>
  <si>
    <t>расчет Имущественный комплекс (с учетом роста на ИПЦ)</t>
  </si>
  <si>
    <t>дог. с ОАО ВСК 02-3/309(2014) (распределение страховой премии пропорционально балансовой стоимости имущества 83 837тыс.руб. ), расчет с ростом на ИПЦ</t>
  </si>
  <si>
    <t>дог. с ОАО ВСК 02-3/309(2014) (распределение страховой премии пропорционально балансовой стоимости имущества 83 837тыс.руб. )</t>
  </si>
  <si>
    <t>Договор добровольного медицинского страхования № 02-3/152 (2015) (15 чел. по СВХ 180 руб. с учетом индекса в 2016)</t>
  </si>
  <si>
    <t>Договор добровольного медицинского страхования № 02-3/152 (2015) (20 чел. по СКХ 180 руб. с учетом индекса в 2016)</t>
  </si>
  <si>
    <t>расчет( с учетом ИПЦ) по заявкам СКХ,   лаборатории, СКХ (в том числе моющие средства)</t>
  </si>
  <si>
    <t>Договор добровольного медицинского страхования № 02-3/152 (2015) (11 чел. по 180 руб. с учетом индекса в 2016)</t>
  </si>
  <si>
    <t xml:space="preserve">Договор добровольного медицинского страхования № 02-3/152 (2015) (12 чел. по АВС  180 руб. с учетом индекса в 2016) </t>
  </si>
  <si>
    <t>Костромаоблгаз ОАО
дог.№05/20(2012) от 20.01.2012г., по факту 2012 г.</t>
  </si>
  <si>
    <t xml:space="preserve">Договор добровольного медицинского страхования № 02-3/152 (2015) (9 чел.  180 руб. с учетом индекса в 2016) </t>
  </si>
  <si>
    <t>Расчет "имущественный комплекс"   дог. с ОАО ВСК 02-3/309(2013) от 18.06.2013 (распределение страховой премии пропорционально балансовой стоимости имущества), расчет с ростом на ИПЦ</t>
  </si>
  <si>
    <t xml:space="preserve">Расчет "имущественный комплекс"   </t>
  </si>
  <si>
    <t xml:space="preserve"> аренда земельного участка гос.и муницип.соб-ти</t>
  </si>
  <si>
    <t>плата по концессионному соглашению (аренда имущества)</t>
  </si>
  <si>
    <t>дог."Русэнергокапитал УК ОАО
5(2010)) от 10.03.2010 г. (расчет)</t>
  </si>
  <si>
    <t xml:space="preserve"> предоставление канала передачи данных </t>
  </si>
  <si>
    <t xml:space="preserve"> расходы на охрану объекта</t>
  </si>
  <si>
    <t>ремонт оргтехники</t>
  </si>
  <si>
    <t xml:space="preserve">  установка и обслуживание охранно-пожарной сигнализации</t>
  </si>
  <si>
    <t>Союз Витязь-Беркут ООО
договор №21-ТО/143(2010) от 01.06.2010
Поступление товаров и услуг ВКС00000139 от 28.02.2015 23:59:59</t>
  </si>
  <si>
    <t>факт  (с ростом на ИПЦ)</t>
  </si>
  <si>
    <t xml:space="preserve">  охрана труда (медосмотр, спецодежда,моющ.ср-ва обучение по охране труда)</t>
  </si>
  <si>
    <t>лабораторные исследования и инструментальные измерения при контроле за безопасностью здоровья</t>
  </si>
  <si>
    <t xml:space="preserve">   материальные расходы, хоз.инвентарь (в том числе по абонентскому отделу)</t>
  </si>
  <si>
    <t xml:space="preserve">расчет Амортизация ( 2,2% от средегодовой остаточной стоимости) </t>
  </si>
  <si>
    <t>расчет "Амортизация"</t>
  </si>
  <si>
    <t>лаборант химического анализа 5 разряда</t>
  </si>
  <si>
    <t>уборщик производственных и служебных помещений</t>
  </si>
  <si>
    <t>Итого по цех.персоналу ОСВ</t>
  </si>
  <si>
    <t>Цеховые расходы СКХ</t>
  </si>
  <si>
    <t xml:space="preserve">начальник службы </t>
  </si>
  <si>
    <t xml:space="preserve">мастер </t>
  </si>
  <si>
    <t>зам.начальника службы - начальник хим-бакт.лаборатории</t>
  </si>
  <si>
    <t>пробоотборщик</t>
  </si>
  <si>
    <t>слесарь-ремонтник 4 разряда</t>
  </si>
  <si>
    <t>электрогазосварщик 4 разряда</t>
  </si>
  <si>
    <t>электрогазосварщик 5 разряда</t>
  </si>
  <si>
    <t>токарь</t>
  </si>
  <si>
    <t>сторож</t>
  </si>
  <si>
    <t>Итого по цех.персоналу СКХ</t>
  </si>
  <si>
    <t>Расчет расходов на оплату труда цехового персонала (общие)</t>
  </si>
  <si>
    <t xml:space="preserve"> (распределяются пропорционально заработной плате основных рабочих)</t>
  </si>
  <si>
    <t>Цеховые расходы ТУ и АВР</t>
  </si>
  <si>
    <t>Транспортный участок</t>
  </si>
  <si>
    <t>механик</t>
  </si>
  <si>
    <t>водитель автомобиля</t>
  </si>
  <si>
    <t>машинист экскаватора</t>
  </si>
  <si>
    <t>машинист компрессора</t>
  </si>
  <si>
    <t>мастер АВР службы</t>
  </si>
  <si>
    <t>слесарь АВР</t>
  </si>
  <si>
    <t>Итого по ТУ и АВР</t>
  </si>
  <si>
    <t>ИТР ОСВ</t>
  </si>
  <si>
    <t>Числен-ность, чел.</t>
  </si>
  <si>
    <t>Оклад</t>
  </si>
  <si>
    <t>Кол-во мес. рабочих в год</t>
  </si>
  <si>
    <t>Начальник представительства</t>
  </si>
  <si>
    <t>Главный инженер</t>
  </si>
  <si>
    <t>Бухгалтер-кассир</t>
  </si>
  <si>
    <t>Экономист</t>
  </si>
  <si>
    <t>Инженер-логист</t>
  </si>
  <si>
    <t>Инженер по ремонту</t>
  </si>
  <si>
    <t>Офис-менеджер</t>
  </si>
  <si>
    <t>Инженер по охране труда и технике без.</t>
  </si>
  <si>
    <t>Инженер</t>
  </si>
  <si>
    <t>Инженер-энергетик</t>
  </si>
  <si>
    <t>Итого:</t>
  </si>
  <si>
    <t>Часовая тарифная ставка руб/час, Оклад руб месяц</t>
  </si>
  <si>
    <t>по тар.ст. окладам руб</t>
  </si>
  <si>
    <t>Доплата за расширение зоны обслуживания</t>
  </si>
  <si>
    <t>ОХР прочие</t>
  </si>
  <si>
    <t>кладовщик</t>
  </si>
  <si>
    <t>курьер</t>
  </si>
  <si>
    <t>дворник</t>
  </si>
  <si>
    <t>абонентский отдел</t>
  </si>
  <si>
    <t>Старший мастер</t>
  </si>
  <si>
    <t>инженер по расчетам</t>
  </si>
  <si>
    <t>контролер водопроводного хоз-ва</t>
  </si>
  <si>
    <t xml:space="preserve">Тарифная ставка рабочего 1-го разряда </t>
  </si>
  <si>
    <t>ср.з.пл.</t>
  </si>
  <si>
    <t>рем.строй бригада (ВС и ВО) доля:</t>
  </si>
  <si>
    <t>аварийно-восстановительная служба (ВС и ВО)</t>
  </si>
  <si>
    <t>транспортная служба</t>
  </si>
  <si>
    <t>прямые цеховые</t>
  </si>
  <si>
    <t>АУП</t>
  </si>
  <si>
    <t>100%</t>
  </si>
  <si>
    <t>в т.ч. Мероприятия энергосбережения (0,8% от НВВ)</t>
  </si>
  <si>
    <t>на м3</t>
  </si>
  <si>
    <t>Оплата труда АУП</t>
  </si>
  <si>
    <t>Охрана труда( медосмотр, аттестация рабочих мест, обучение по охране труда) в том числе</t>
  </si>
  <si>
    <t>Охрана труда:(мед. осмотр аттестация рабочих мест, обучение)</t>
  </si>
  <si>
    <t>проведение аккредитации лаборатории</t>
  </si>
  <si>
    <t>4.1.</t>
  </si>
  <si>
    <t>4.2.</t>
  </si>
  <si>
    <t xml:space="preserve"> - расход по сомнительным долгам </t>
  </si>
  <si>
    <t>Доплата за работу в праздники(14 дней)</t>
  </si>
  <si>
    <t>водитель автомобиля (вывоз ЖБО-Калачев)</t>
  </si>
  <si>
    <t>Вознаграждение по итогам работы за год(0,108)</t>
  </si>
  <si>
    <t>Руководитель ПТГ</t>
  </si>
  <si>
    <t xml:space="preserve">инженер </t>
  </si>
  <si>
    <t>ступень</t>
  </si>
  <si>
    <t>тарифный коэффициент</t>
  </si>
  <si>
    <t xml:space="preserve">доплата за расширение зон обслуживания </t>
  </si>
  <si>
    <t>ИТОГО</t>
  </si>
  <si>
    <t>Администрация</t>
  </si>
  <si>
    <t>Договорно-правовой отдел</t>
  </si>
  <si>
    <t>Начальник отдела</t>
  </si>
  <si>
    <t>Юрисконсульт</t>
  </si>
  <si>
    <t xml:space="preserve">Инженер-инспектор </t>
  </si>
  <si>
    <t>Департамент реализации услуг</t>
  </si>
  <si>
    <t>доплата за расширение зон обслуживания</t>
  </si>
  <si>
    <t>Отдел учёта и контроля</t>
  </si>
  <si>
    <t>Отдел производства расчётов</t>
  </si>
  <si>
    <t>Бухгалтер</t>
  </si>
  <si>
    <t>СТОКИ</t>
  </si>
  <si>
    <t>аттестация рабочих мест</t>
  </si>
  <si>
    <t>Расходы на энергетическое обследование объектов (в соответствии с действующим законодательством)</t>
  </si>
  <si>
    <t>Наименование</t>
  </si>
  <si>
    <t>предложения департамента 2015</t>
  </si>
  <si>
    <t>Оплата труда ОПР</t>
  </si>
  <si>
    <t xml:space="preserve">Общеэксплуатационные расходы </t>
  </si>
  <si>
    <t xml:space="preserve">Цеховые расходы </t>
  </si>
  <si>
    <t>Общеэксплуатационные расходы</t>
  </si>
  <si>
    <t>по факту 2014 г.</t>
  </si>
  <si>
    <t>факт 2013 г.</t>
  </si>
  <si>
    <t>по индексу роста</t>
  </si>
  <si>
    <t>тариф 2014</t>
  </si>
  <si>
    <t>тариф 
2014</t>
  </si>
  <si>
    <t>снижение объемов реализации</t>
  </si>
  <si>
    <t>амортиз.отчисления</t>
  </si>
  <si>
    <t>Канализационная сеть керамическая д-200мм. От дома №16 по ул.К.Либкнехта до центральной линии  78п.м, 000000692, 01.03.2010</t>
  </si>
  <si>
    <t>Канализационная сеть керамическая д-200мм.-от ул.Кр.Армии,90  до КНС-3   622,5п.м., 000000693, 01.03.2010</t>
  </si>
  <si>
    <t>Канализационная сеть по ул.Нерехтская, д.За;(от КК д.1 ул.Нерехтская до ж/д 3а, полиэтилен, диаметр , 000000694, 01.03.2010</t>
  </si>
  <si>
    <t>Канализационная сеть- полиэтилен, диам. 200мм, протяж. - 24,8м. - по ул. Красноармейской (участок от, 000000695, 01.03.2010</t>
  </si>
  <si>
    <t>Канализационная сеть чугунная д-150мм.-ул.Гагарина-от Льнозавода до ул.Орджоникидзе     166,1 п.м., 000000696, 01.03.2010</t>
  </si>
  <si>
    <t>Канализационная сеть чугунная д-200мм-от ул.Пионерская,12  до музея  161п.м., 000000697, 01.03.2010</t>
  </si>
  <si>
    <t>Канализационная сеть чугунная д-300мм ул.Дружбы от дома №2 до дома №3 27,7п.м., 000000698, 01.03.2010</t>
  </si>
  <si>
    <t>Канализационная сеть, вдоль ул. Зеленая, 210 м., от д.№8 с врезкой в канализ. коллектор на ул. Нерех, 000000699, 01.03.2010</t>
  </si>
  <si>
    <t>Канализационный колодец по ул. Металлистов на участке между домами №24 и №26, железобетон, диаметр- , 000000700, 01.03.2010</t>
  </si>
  <si>
    <t>КНС (бывшая база Гортопсбыта ул.Дружбы), 000000701, 01.03.2010</t>
  </si>
  <si>
    <t>КНС ул.К.Маркса, 000000702, 01.03.2010</t>
  </si>
  <si>
    <t>Малая КНС, 000000704, 01.03.2010</t>
  </si>
  <si>
    <t>Водопроводная сеть  950 м, d= 150мм , асбест(г. Нерехта, ул. Ленина от колодца между ), 000001761, 01.03.2011</t>
  </si>
  <si>
    <t>Водопроводная сеть  295 м, д/а 50мм (г. Нерехта, ул. Лермонтова ), 000001762, 01.03.2011</t>
  </si>
  <si>
    <t>Водопроводная сеть  52,5 м, д/а 50мм (г. Нерехта, ул. Луговая от ул. Восточной ), 000001763, 01.03.2011</t>
  </si>
  <si>
    <t>Водопроводная сеть  280 м, д/а 50мм (г. Нерехта,  ул.Лазо: от ул. Чернышевского до д.11 ул.Лазо), 000001764, 01.03.2011</t>
  </si>
  <si>
    <t>Водопроводная сеть  230 м, д/а 50мм (г. Нерехта, ул. Лапина от ул. Смирнова до д/с «Колокольчик» ), 000001765, 01.03.2011</t>
  </si>
  <si>
    <t>Водопроводная сеть  410 м, д/а 125мм (г. Нерехта, ул. Лобанова от ул. Мира до ул. Дружбы ), 000001766, 01.03.2011</t>
  </si>
  <si>
    <t>Водопроводная сеть  200 м, д/а 125мм (г. Нерехта, ул. Ларионова от ул. Лобанова до ул. 11-я Рабоча ), 000001767, 01.03.2011</t>
  </si>
  <si>
    <t>Водопроводная сеть  220 м, д/а 100мм , чугун(г. Нерехта, ул.Шагова: от ул. Ленина до ул. Седова ), 000001768, 01.03.2011</t>
  </si>
  <si>
    <t>Водопроводная сеть  45 м, д/а 50мм  (г. Нерехта, ул. Мичурина от ул. 22 Партсъезда ), 000001769, 01.03.2011</t>
  </si>
  <si>
    <t>Водопроводная сеть  125 м, д/а 50мм  (г. Нерехта, ул. 8 Марта ), 000001770, 01.03.2011</t>
  </si>
  <si>
    <t>Водопроводная сеть  155 м, д/а 50мм  (г. Нерехта, ул. Мартюшова от ул. Кр. Армии до ул. Р. Люксемб ), 000001771, 01.03.2011</t>
  </si>
  <si>
    <t>Водопроводная сеть  445 м, д/а 100мм  (г. Нерехта, ул. К. Маркса от ул. Орджоникидзе до пер. Крупс ), 000001772, 01.03.2011</t>
  </si>
  <si>
    <t>Водопроводная сеть  975 м, д/а 150мм ,чугун (г. Нерехта, ул. Металлистов от ул. Победы до  ), 000001773, 01.03.2011</t>
  </si>
  <si>
    <t>Водопроводная сеть  255 м, д/а 125мм ,чугун (г. Нерехта, ул. Мира от ул. Смирнова до ул. Лобанова  ), 000001774, 01.03.2011</t>
  </si>
  <si>
    <t>Водопроводная сеть  265 м, д/а 50мм ,(г. Нерехта, ул. Майская  ), 000001775, 01.03.2011</t>
  </si>
  <si>
    <t>Водопроводная сеть  505 м, д/а 50мм ,(г. Нерехта, ул. Незамаева от ул. Ленина до д. №7 — 125 м; о  ), 000001776, 01.03.2011</t>
  </si>
  <si>
    <t>Водопроводная сеть  315 м, д/а 50мм ,(г. Нерехта, ул. Некрасова  ), 000001777, 01.03.2011</t>
  </si>
  <si>
    <t>Водопроводная сеть  175м, д/а 150мм ,чугун (г. Нерехта, ул. Нерехтская от ул. Шагова до з-да Маяк  ), 000001778, 01.03.2011</t>
  </si>
  <si>
    <t>Водопроводная сеть  240 м, д/а 50мм ,(г. Нерехта, ул. Нахимова от ул. Кутузова до ул. Полевой  ), 000001779, 01.03.2011</t>
  </si>
  <si>
    <t>Водопроводная сеть  455 м, д/а 50мм ,полиэтилен (г. Нерехта, ул. Ново-Красноармейская , 000001780, 01.03.2011</t>
  </si>
  <si>
    <t>Водопроводная сеть  147,5 м, д/а 50мм ,полиэтилен (г. Нерехта, ул. Никулина), 000001781, 01.03.2011</t>
  </si>
  <si>
    <t>Водопроводная сеть 270м, д/а 50мм,  (г. Нерехта, ул. Островского от ул. Ивановской ), 000001782, 01.03.2011</t>
  </si>
  <si>
    <t>Водопроводная сеть 350м, д/а 150мм-асбест, 350м, д/а 250мм-чугун (Нерехта г, Орджоникидзе ул, две ли, 000001783, 01.03.2011</t>
  </si>
  <si>
    <t>Водопроводная сеть 280м, д/а 63мм - полиэтилен, (Нерехта г, ул.Первомайская), 000001784, 01.03.2011</t>
  </si>
  <si>
    <t>Водопроводная сеть 175м, д/а 50мм , (Нерехта г, ул. Пионерская  от ул. Володарского), 000001785, 01.03.2011</t>
  </si>
  <si>
    <t>Водопроводная сеть  290м ,д/а 100мм, чугун,  (г. Нерехта,  ул. Ярославская от ул. Луначарского  ), 000001819, 01.03.2011</t>
  </si>
  <si>
    <t>Водопроводная сеть  90м ,д/а 100мм, чугун,  (г. Нерехта,  пер. Грибоедова от пер. Дарвина ), 000001820, 01.03.2011</t>
  </si>
  <si>
    <t>Водопроводная сеть  255м ,д/а 100мм, чугун,  (г. Нерехта,  пер. Дарвина от ул. Чехова до ул. Восточн, 000001821, 01.03.2011</t>
  </si>
  <si>
    <t>Водопроводная сеть  300м ,д/а 200мм,  (г. Нерехта,  пер. Зелинского от ул. Чехова до ул. С. Ковале ), 000001822, 01.03.2011</t>
  </si>
  <si>
    <t>Водопроводная сеть  83м ,д/а 50мм, чугун,  (г. Нерехта,  пер. Зеленый от ул. Нахимова  ), 000001823, 01.03.2011</t>
  </si>
  <si>
    <t>Водопроводная сеть  220м ,д/а 100мм,  (г. Нерехта,  пер. Кирова от ул. Кирова до ул. Гагарина ), 000001824, 01.03.2011</t>
  </si>
  <si>
    <t>Водопроводная сеть  190м ,д/а 50мм,  (г. Нерехта,  пер. Крупской), 000001825, 01.03.2011</t>
  </si>
  <si>
    <t>Водопроводная сеть  227,5м ,д/а 50мм,  (г. Нерехта,  пер. Короткий от ул. Короткой), 000001826, 01.03.2011</t>
  </si>
  <si>
    <t>Водопроводная сеть  195м ,д/а 50мм,  (г. Нерехта,  пер. Луговой от ул. Кутузова до ул. Полевой), 000001827, 01.03.2011</t>
  </si>
  <si>
    <t>Водопроводная сеть  140м ,д/а 50мм,  (г. Нерехта,  пер. Ломоносова от №30 до №36), 000001828, 01.03.2011</t>
  </si>
  <si>
    <t>Водопроводная сеть  150м ,д/а 50мм,  (г. Нерехта,  пер. Менделеева от ул. Чехова до ул. С. Ковалевск, 000001829, 01.03.2011</t>
  </si>
  <si>
    <t>Водопроводная сеть  240м ,д/а 50мм,  (г. Нерехта,  пер. К. Маркса ), 000001830, 01.03.2011</t>
  </si>
  <si>
    <t>Водопроводная сеть  265м ,д/а 50мм,  (г. Нерехта,  пер. Полевой от ул. Кутузова до ул. Грибоедова ), 000001831, 01.03.2011</t>
  </si>
  <si>
    <t>Водопроводная сеть  42,0м ,д/а 50мм,  (г. Нерехта,  пер. Пионерский от пер. Крупской до д. №7 ), 000001832, 01.03.2011</t>
  </si>
  <si>
    <t>Водопроводная сеть  255м ,д/а 75мм,  (г. Нерехта,  пер. Пушкина от ул. К. Либкнехта до ул. Октябрьск, 000001833, 01.03.2011</t>
  </si>
  <si>
    <t>Водопроводная сеть  310м ,д/а 50мм,  (г. Нерехта,  пер. Павлова от ул. Чехова до ул. Тургенева, 000001834, 01.03.2011</t>
  </si>
  <si>
    <t>Водопроводная сеть  140м ,д/а 100мм, чугун  (г. Нерехта,  пер. 1-й Советский от ул. 11 годовщины Окт, 000001835, 01.03.2011</t>
  </si>
  <si>
    <t>Водопроводная сеть  220м ,д/а 100мм,  (г. Нерехта,  пер. 2-й Советский от д. 31 до ул. Пролетарской , 000001836, 01.03.2011</t>
  </si>
  <si>
    <t>Водопроводная сеть  202,5м ,д/а 100мм,  (г. Нерехта,  пер. Строительный ), 000001837, 01.03.2011</t>
  </si>
  <si>
    <t>Водопроводная сеть  260м ,д/а 65мм, чугун  (г. Нерехта,  пер. Урицкого от ул. Урицкого до д. №8 по у, 000001838, 01.03.2011</t>
  </si>
  <si>
    <t>Водопроводная сеть  175м ,д/а 50мм, полиэтилен  (г. Нерехта,  пер. Фадеева ), 000001839, 01.03.2011</t>
  </si>
  <si>
    <t>Водопроводная сеть  195м ,д/а 32мм, полиэтилен  (г. Нерехта,  пер. К. Цеткин от реки Нерехта до ул. , 000001840, 01.03.2011</t>
  </si>
  <si>
    <t>Стерилизатор паровой (автоклав) ВК-30-ДГМ, 000000786, 31.05.2010</t>
  </si>
  <si>
    <t>Кондуктомер PTW, 000000958, 01.03.2010</t>
  </si>
  <si>
    <t>Облучатель ОБН-150 (ДБ-2*30,СБН-2*30УХЛ) бактерицидный настенный 1.75.70.0012, 000000987, 01.03.2010</t>
  </si>
  <si>
    <t>Установка очистки и обеззараживания воздуха БОВ-001-АМС (варионт СЛШ), 000001037, 09.06.2010</t>
  </si>
  <si>
    <t>Программируемая двухсекционная плитка ПСП-2, 000001035, 07.06.2010</t>
  </si>
  <si>
    <t>Аквадистиллятор АЭ-25 (корпус-нержавейка, двойная перегонка воды), 000001036, 31.05.2010</t>
  </si>
  <si>
    <t>Стол медицинский лабораторный, 000001084, 03.08.2010</t>
  </si>
  <si>
    <t>Стол медицинский лабораторный, 000001093, 03.08.2010</t>
  </si>
  <si>
    <t>Стол медицинский лабораторный, 000001094, 03.08.2010</t>
  </si>
  <si>
    <t>Стол медицинский лабораторный, 000001095, 03.08.2010</t>
  </si>
  <si>
    <t>Шкаф вытяжной ШВ-01-"МСК" (столешница керамика, б/мойки), 000001097, 25.08.2010</t>
  </si>
  <si>
    <t>Управление</t>
  </si>
  <si>
    <t>Канализационная сеть - 827 м, д/а- 100-150мм ,  (Нерехта г, район ул.К.Либкнехта), 000001844, 01.03.2011</t>
  </si>
  <si>
    <t>Канализационная сеть - 1850 м, д/а- 100-200мм ,  (Нерехта г, район ул.Пролетарская), 000001845, 01.03.2011</t>
  </si>
  <si>
    <t>Канализационная сеть - 1 770 м, д/а- 100-300мм ,  (Нерехта г, район ул.Гайдара, район ул.Лапина), 000001846, 01.03.2011</t>
  </si>
  <si>
    <t>Канализационная сеть - 1252 м, д/а- 100-150мм ,  (Нерехта г, район ул.Металлистов, район ул.Октябрь, 000001847, 01.03.2011</t>
  </si>
  <si>
    <t>Канализационная сеть - 2320м, д/а- 100-150мм ,  (Нерехта г, район ул.Глазова,район ул.Калинина,район, 000001848, 01.03.2011</t>
  </si>
  <si>
    <t>материальные расходы</t>
  </si>
  <si>
    <t>заявка механика транспортной службы</t>
  </si>
  <si>
    <t>заявка лабаратории СКХ  ЦСМ дог. 01-3/200(2013)</t>
  </si>
  <si>
    <t>Наименование показателя</t>
  </si>
  <si>
    <t>Себестоимость</t>
  </si>
  <si>
    <t>объём энергии (тыс.кВт*ч)</t>
  </si>
  <si>
    <t>энергия НН (0,4 кВ и ниже)</t>
  </si>
  <si>
    <t>тариф на энергию (руб./кВт*ч)</t>
  </si>
  <si>
    <t>энергия СН 2 (1-20 кВ)</t>
  </si>
  <si>
    <t>Реагенты</t>
  </si>
  <si>
    <t>Амортизация</t>
  </si>
  <si>
    <t>Аренда основного оборудования</t>
  </si>
  <si>
    <t>по договорам лизинга</t>
  </si>
  <si>
    <t>Прочие прямые расходы, в том числе</t>
  </si>
  <si>
    <t>налог на имущество</t>
  </si>
  <si>
    <t>Валовая прибыль</t>
  </si>
  <si>
    <t>Прибыль на социальное развитие</t>
  </si>
  <si>
    <t>Прибыль на прочие цели</t>
  </si>
  <si>
    <t>Налоги, сборы, платежи - всего, в том числе:</t>
  </si>
  <si>
    <t xml:space="preserve">Налог на прибыль, в том числе </t>
  </si>
  <si>
    <t>налог от капитальных вложений</t>
  </si>
  <si>
    <t>Необходимая валовая выручка, без НДС</t>
  </si>
  <si>
    <t>тыс.м3</t>
  </si>
  <si>
    <t>потери в сетях</t>
  </si>
  <si>
    <t>бюджетные потребители</t>
  </si>
  <si>
    <t>прочие потребители</t>
  </si>
  <si>
    <t>тыс.кВт*ч</t>
  </si>
  <si>
    <t>руб/кВт*ч</t>
  </si>
  <si>
    <t>тыс. руб.</t>
  </si>
  <si>
    <t>руб./мес.</t>
  </si>
  <si>
    <t>численность ремонтного персонала, относимого на регулируемый вид деятельности</t>
  </si>
  <si>
    <t>утверждено в действующем тарифе 
(2012 г.)</t>
  </si>
  <si>
    <t>Электроэнергия, всего</t>
  </si>
  <si>
    <t>Оплата труда ремонтного персонала</t>
  </si>
  <si>
    <t>Оплата труда цехового персонала</t>
  </si>
  <si>
    <t>руб/мес.</t>
  </si>
  <si>
    <t xml:space="preserve">среднемесячная оплата труда </t>
  </si>
  <si>
    <t>3.1</t>
  </si>
  <si>
    <t>3.2</t>
  </si>
  <si>
    <t>прибыль на развитие производства</t>
  </si>
  <si>
    <t>Экономически обоснованный ТАРИФ (без НДС)</t>
  </si>
  <si>
    <t>5.</t>
  </si>
  <si>
    <t>4.</t>
  </si>
  <si>
    <t>прочие</t>
  </si>
  <si>
    <t>6.</t>
  </si>
  <si>
    <t>7.</t>
  </si>
  <si>
    <t>ед.изм.</t>
  </si>
  <si>
    <t>оплата услуг расчетно-кассового центра</t>
  </si>
  <si>
    <t>тыс.руб.</t>
  </si>
  <si>
    <t>ИТОГО:</t>
  </si>
  <si>
    <t>ед.</t>
  </si>
  <si>
    <t>Поднято воды</t>
  </si>
  <si>
    <t>Хозяйственные нужды предприятия</t>
  </si>
  <si>
    <t>Пропущено через очистные сооружения</t>
  </si>
  <si>
    <t xml:space="preserve">население </t>
  </si>
  <si>
    <t>другие налоги</t>
  </si>
  <si>
    <t>Пропущено сточных вод, всего</t>
  </si>
  <si>
    <t>пропущено сточных вод по категориям потребителей всего:</t>
  </si>
  <si>
    <t>финансируемых из бюджетов всех уровней</t>
  </si>
  <si>
    <t>население</t>
  </si>
  <si>
    <t>изменение концессионной платы от 29.04</t>
  </si>
  <si>
    <t>Канализационная сеть - 160м, д/а - 150мм, асбест, (Нерехта г, ул. Подгорная от д. №18 до ул. Мира), 000001861, 01.03.2011</t>
  </si>
  <si>
    <t>Канализационная сеть - 70м, д/а - 200мм, керамическая, (Нерехта г, ул. Светлая от ул. Нерехтской до , 000001862, 01.03.2011</t>
  </si>
  <si>
    <t>- % за пользование кредитом</t>
  </si>
  <si>
    <t>- другие (с расшифровкой)</t>
  </si>
  <si>
    <t>Прибыль, облагаемая налогом</t>
  </si>
  <si>
    <t xml:space="preserve"> в том числе: </t>
  </si>
  <si>
    <t>- на прибыль</t>
  </si>
  <si>
    <t>утверждено в тарифе 2012 г.</t>
  </si>
  <si>
    <t>фактические затраты 2012 г.</t>
  </si>
  <si>
    <t>утверждено в тарифе 2013  г.</t>
  </si>
  <si>
    <t>водоснабжение</t>
  </si>
  <si>
    <t>водоотведение</t>
  </si>
  <si>
    <t>да</t>
  </si>
  <si>
    <t>Н.П. Пасичник</t>
  </si>
  <si>
    <t>Примечание</t>
  </si>
  <si>
    <t>утверждено в  тарифе 
(2012 г.)</t>
  </si>
  <si>
    <t xml:space="preserve">  -  содержание зданий, сооружений, инвентаря:</t>
  </si>
  <si>
    <t>электроэнергия</t>
  </si>
  <si>
    <t>отопление</t>
  </si>
  <si>
    <t xml:space="preserve">  -  услуги связи:</t>
  </si>
  <si>
    <t>междугородние переговоры и стационарные телефоны (Ростелеком)</t>
  </si>
  <si>
    <t>мобильная связь (МТС)</t>
  </si>
  <si>
    <t xml:space="preserve">  - канцелярские, почтово-телеграфные расходы, подписка</t>
  </si>
  <si>
    <t>Водоснабжение (напрямую на водоснабжение)</t>
  </si>
  <si>
    <t>факт. 2012 год</t>
  </si>
  <si>
    <t>по факту 2012 года с ростом на ИПЦ</t>
  </si>
  <si>
    <t>дог. 144300484364/33(2010) от 01.03.2010 с МТС, приказ ООО "Водоканалсервис"№ 62 от 03.06.11 (по факту 2012 года с учетом роста ИПЦ)</t>
  </si>
  <si>
    <t xml:space="preserve">  - амортизация</t>
  </si>
  <si>
    <t xml:space="preserve">  - проездные и пригородные билеты</t>
  </si>
  <si>
    <t>расчет</t>
  </si>
  <si>
    <t>- лабораторные исследования и инструментальные измерения при контроле за безопасностью здоровья</t>
  </si>
  <si>
    <t>расчет (с ростом на ИПЦ)</t>
  </si>
  <si>
    <t xml:space="preserve">  - страхование:</t>
  </si>
  <si>
    <t>добровольное личное  страхование, предусматривающее оплату страховщиками медицински расходов</t>
  </si>
  <si>
    <t>страхование имущества по концессионному соглашению</t>
  </si>
  <si>
    <t>заправка и ремонт картриджей</t>
  </si>
  <si>
    <t xml:space="preserve">Группа Беркут ООО ЧОО
дог. 3/п/72(2010) от 01.06.2010
</t>
  </si>
  <si>
    <t xml:space="preserve">Союз Витязь-Беркут ООО
договор №21-ТО/143(2010) от 01.06.2010, Охрана МВД по КО
дог. 90/215(2010) от 28.09.2010
</t>
  </si>
  <si>
    <t>- расходы на обучение электротехнического персонала</t>
  </si>
  <si>
    <t>дог. 04/108(2012) от 01.01.2012 ООО "Тесла" с учетом ИПЦ</t>
  </si>
  <si>
    <t>Сборы и отчисления:</t>
  </si>
  <si>
    <t>выделены отдельно в смете</t>
  </si>
  <si>
    <t>Итого (без учета расходов на оплату труда, налога на им-во):</t>
  </si>
  <si>
    <t>вода</t>
  </si>
  <si>
    <t>стоки</t>
  </si>
  <si>
    <t>прочие виды деятельности</t>
  </si>
  <si>
    <t>Кол-во часов работы в год, час, / месяцев</t>
  </si>
  <si>
    <t>по тарифной ставке(окладу) руб</t>
  </si>
  <si>
    <t>Доплата за расширение зон обслуживания с премией</t>
  </si>
  <si>
    <t xml:space="preserve">Ночные   40% с премией    </t>
  </si>
  <si>
    <t>Дополнительное вознаграждение за нерабочий праздничный день</t>
  </si>
  <si>
    <t>Вред-ность 4%, 8%, с премией</t>
  </si>
  <si>
    <t>текущий  ремонт и ТО</t>
  </si>
  <si>
    <t>по производственной программе (капитальный ремонт объектов К.С.)</t>
  </si>
  <si>
    <t>Ремонт капитального и  текущего характера</t>
  </si>
  <si>
    <t>Водопроводная сеть- 1200 м, д/а- 500мм , стальная (Нерехта г, ур.Монино, ул.Гагарина), 000001731, 01.03.2011</t>
  </si>
  <si>
    <t>Водопроводная линия- 1200 м, д/а- 65мм , полиэтилен (Нерехта г, ул.Нерехтская, ул.Тупицино), 000001732, 01.03.2011</t>
  </si>
  <si>
    <t>Водопроводная линия- 150 м, д/а- 50мм , полиэтилен (Нерехта г, пер.Нахимова), 000001733, 01.03.2011</t>
  </si>
  <si>
    <t>Водопроводная сеть-63 м, д/а- 100мм , чугун (Нерехта г, ул.Бебеля от пл.Свободы до ул.Бебеля,3) , 000001734, 01.03.2011</t>
  </si>
  <si>
    <t>Водопроводная сеть-235 м, д/а- 100мм , чугун (Нерехта г, ул.Белинского от ул.Лазо до д,№17), 000001735, 01.03.2011</t>
  </si>
  <si>
    <t>Водопроводная сеть-170м, д/а- 63мм , полиэтилен (Нерехта г, ул.Восход от ул.Урицкого до д.№8), 000001736, 01.03.2011</t>
  </si>
  <si>
    <t>Водопроводная сеть-520м, д/а- 150мм , асбест-цем (Нерехта г, ул.Горького от ул.Крестьянской до СЭС), 000001737, 01.03.2011</t>
  </si>
  <si>
    <t>Водопроводная сеть-375 м, д/а- 100мм , чугун (Нерехта г, ул.Гончарова от ул.С.Ковалевской до ул.22 ), 000001738, 01.03.2011</t>
  </si>
  <si>
    <t>Водопроводная сеть-333 м, д/а- 65мм , чугун (Нерехта г, ул.Грибоедова ), 000001739, 01.03.2011</t>
  </si>
  <si>
    <t>Водопроводная сеть- 750 м, д/а- 50мм , стальная (Нерехта г, ул.11 годовщины Октября от ул. Кр.Армии, 000001740, 01.03.2011</t>
  </si>
  <si>
    <t>Водопроводная сеть-640м, д/а- 100мм , чугун (Нерехта г, ул.Гагарина от конторы льнозавода; от д.№3 ), 000001741, 01.03.2011</t>
  </si>
  <si>
    <t>Водопроводная сеть-200м, д/а- 50мм , чугун ; 110м, д/а- 50мм , полиэтилен, 000001742, 01.03.2011</t>
  </si>
  <si>
    <t>Водопроводная сеть-865м, д/а- 150мм , чугун (Нерехта г, ул.Глазова от пер.Свердлова до ул.Димитров ), 000001743, 01.03.2011</t>
  </si>
  <si>
    <t>Водопроводная сеть- 275 м, д/а- 100мм  (Нерехта г, ул.Гайдара от ул.1-й Рабочей до конторы СТС ул.К), 000001744, 01.03.2011</t>
  </si>
  <si>
    <t>Водопроводная сеть- 600 м, д/а- 150мм  (Нерехта г, Дзержинского ул), 000001745, 01.03.2011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</si>
  <si>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</si>
  <si>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через собственные  очистные</t>
  </si>
  <si>
    <t>Объем воды, отпущенной в сеть</t>
  </si>
  <si>
    <t>Отпуск питьевой воды (реализация по абонентам)</t>
  </si>
  <si>
    <t>Объем пропущенных сточных вод</t>
  </si>
  <si>
    <t>через собственные очистные сооружения</t>
  </si>
  <si>
    <t>Объем сточных вод, принятых от  абонентов</t>
  </si>
  <si>
    <t>44-01-71</t>
  </si>
  <si>
    <t xml:space="preserve">Начальник планово-экономического отдела ОАО "УК Русэнергокапитал"                                 Н.П. Пасичник                   </t>
  </si>
  <si>
    <t>удельный вес в тарифе</t>
  </si>
  <si>
    <t>доля в тарифе</t>
  </si>
  <si>
    <t>1 пол.</t>
  </si>
  <si>
    <t>2 пол.</t>
  </si>
  <si>
    <t>факт
 (2012 г.)</t>
  </si>
  <si>
    <t>факт 6 мес 2015 г.</t>
  </si>
  <si>
    <t>Ремонт и техническое обслуживание объектов водопроводного и канализационного хозяйства</t>
  </si>
  <si>
    <t>факт 6 мес.</t>
  </si>
  <si>
    <t>факт 2015</t>
  </si>
  <si>
    <t>факт 6 мес. 2015</t>
  </si>
  <si>
    <t>КСК ОАО
дог. 508/11(2010) от 01.03.2010, расчет</t>
  </si>
  <si>
    <t xml:space="preserve">Инвест-проект ЗАО
договор №306/11/04/351(2011) от 01.09.2011 </t>
  </si>
  <si>
    <t>размещение информации (в т.ч. в прессе)</t>
  </si>
  <si>
    <t xml:space="preserve"> техобслуживание ККТ</t>
  </si>
  <si>
    <t>ФАКТ 9 месяцев 2015</t>
  </si>
  <si>
    <t xml:space="preserve">Ростелеком 
дог. 180000098320/152 (2010) от 29.07.10, Ростелеком 
дог. 94243/12(2010) от 01.03.10, с учетом роста на ИПЦ
</t>
  </si>
  <si>
    <t>2 094 537,70</t>
  </si>
  <si>
    <t>Приложение № 4</t>
  </si>
  <si>
    <t>29 506 078,73</t>
  </si>
  <si>
    <t>87554 873,17</t>
  </si>
  <si>
    <t>факт 2015 г.</t>
  </si>
  <si>
    <t>на м3 от "подано в сеть"</t>
  </si>
  <si>
    <t>отпущено по абонентам:</t>
  </si>
  <si>
    <t xml:space="preserve">2016 г.смета </t>
  </si>
  <si>
    <t>№ сметы</t>
  </si>
  <si>
    <t>Нерехтская ул.</t>
  </si>
  <si>
    <t>605-2</t>
  </si>
  <si>
    <t>станция водоочиски</t>
  </si>
  <si>
    <t>насосная ст.1 подъема</t>
  </si>
  <si>
    <t>605-1</t>
  </si>
  <si>
    <t>НС 2-го подъема</t>
  </si>
  <si>
    <t>605-3</t>
  </si>
  <si>
    <t>замена оконных блоков</t>
  </si>
  <si>
    <t>605-4</t>
  </si>
  <si>
    <t>замена тр-провода</t>
  </si>
  <si>
    <t>Отчисления по всему ФОТ</t>
  </si>
  <si>
    <t>отчисления по ОПР</t>
  </si>
  <si>
    <t>отчисления по цехов. Персоналу</t>
  </si>
  <si>
    <t>отчисления по АУП</t>
  </si>
  <si>
    <t xml:space="preserve">транспортная служба </t>
  </si>
  <si>
    <t>предложения 
деп-та 
2015</t>
  </si>
  <si>
    <t>ремонт помещения для приема пищи</t>
  </si>
  <si>
    <t>603-а</t>
  </si>
  <si>
    <t>ремонт коридора</t>
  </si>
  <si>
    <t>603-б</t>
  </si>
  <si>
    <t>ремонт токарного участка</t>
  </si>
  <si>
    <t>603-г</t>
  </si>
  <si>
    <t>ремонт раздевалки</t>
  </si>
  <si>
    <t>603-д</t>
  </si>
  <si>
    <t>ремонт цеха воздуходувок</t>
  </si>
  <si>
    <t>603-е</t>
  </si>
  <si>
    <t>603-ж</t>
  </si>
  <si>
    <t>603-1</t>
  </si>
  <si>
    <t>наращивание обваловки иловых карт</t>
  </si>
  <si>
    <t>замена кан.колодцев</t>
  </si>
  <si>
    <t>факт 6 мес 
2015 г.</t>
  </si>
  <si>
    <t>земельные участки (район)</t>
  </si>
  <si>
    <t>по сметам за вычетом амортизации</t>
  </si>
  <si>
    <t>Премия</t>
  </si>
  <si>
    <t>ЭОТ (без НДС)</t>
  </si>
  <si>
    <t>предложения департамента
2016 г.</t>
  </si>
  <si>
    <t>Операционные 
расходы</t>
  </si>
  <si>
    <t>индекс эффективности операционных расходов</t>
  </si>
  <si>
    <t>индекс изменения количества активов</t>
  </si>
  <si>
    <t>неподконтрольные расходы</t>
  </si>
  <si>
    <t>аренда (прочая)</t>
  </si>
  <si>
    <t>ИПЦ</t>
  </si>
  <si>
    <t>индекс потребительских цен</t>
  </si>
  <si>
    <t>коэффициент</t>
  </si>
  <si>
    <t>НВВ сглаживания</t>
  </si>
  <si>
    <t>отнесены в неподконтрольные расходы</t>
  </si>
  <si>
    <t>муниципальный стандарт (без НДС)</t>
  </si>
  <si>
    <t>НВВ к расчету тарифа</t>
  </si>
  <si>
    <t>`</t>
  </si>
  <si>
    <t xml:space="preserve">Ремонт </t>
  </si>
  <si>
    <t>ОСНО</t>
  </si>
  <si>
    <t>НВВ (без НДС)</t>
  </si>
  <si>
    <t>НВВ к расчету тарифов</t>
  </si>
  <si>
    <t xml:space="preserve">другие неподконтрольные </t>
  </si>
  <si>
    <t>Налог на имущество:</t>
  </si>
  <si>
    <t>Тарифная ставка рабочего 1-го разряда</t>
  </si>
  <si>
    <t>весь ФОТ с отчислениями в НВВ</t>
  </si>
  <si>
    <t>по концессионному соглашению (от 01.03.2010)</t>
  </si>
  <si>
    <t>прочие прямые (4%)</t>
  </si>
  <si>
    <t>с НДС</t>
  </si>
  <si>
    <t xml:space="preserve">другие прочие прямые расходы </t>
  </si>
  <si>
    <t>Баланс водоснабжения  2013-2019 гг</t>
  </si>
  <si>
    <t>2013</t>
  </si>
  <si>
    <t>2015</t>
  </si>
  <si>
    <t>2019</t>
  </si>
  <si>
    <t>из подземных источников</t>
  </si>
  <si>
    <t>Баланс водоотведения</t>
  </si>
  <si>
    <t>факт 
(истекший период)</t>
  </si>
  <si>
    <t>ПРЕДПРИЯТИЕ ВОДОСНАБЖЕНИЕ</t>
  </si>
  <si>
    <t>факт 
2015 г.</t>
  </si>
  <si>
    <t>ПРЕДПРИЯТИЕ 
ВОДООТВЕДЕНИЕ</t>
  </si>
  <si>
    <t>ЦЕХОВЫЕ РАСХОДЫ   в 2017   г.</t>
  </si>
  <si>
    <t>Общехозяйственные расходы  счет 26 в 2017</t>
  </si>
  <si>
    <t>предложения предприятия 2017</t>
  </si>
  <si>
    <t>факт 2016</t>
  </si>
  <si>
    <t>приказ предприятия  от 22.03.2012  № 38 «Об утверждении перечня профессий и должностей, дающих право на бесплатную выдачу специальной одежды, специальной обуви и других средств индивидуальной защиты в Нерехтском представительстве</t>
  </si>
  <si>
    <t>Расчет заработной платы основного производственного персонала  на 2017 год</t>
  </si>
  <si>
    <t>на оплату труда АУП на 2017 год</t>
  </si>
  <si>
    <t>на оплату труда АУП Кострома на 2017 год</t>
  </si>
  <si>
    <t>Расчет заработной платы административно-управленческого персонала на 2017 год сч. 26 (ОХР)</t>
  </si>
  <si>
    <t>Расчет расходов на оплату труда цехового персонала в 2017</t>
  </si>
  <si>
    <t xml:space="preserve">Расчёт  расходов из прибыли, принимаемой при установлении тарифа  на 2017  год </t>
  </si>
  <si>
    <t>ПРОЧИЕ ПРЯМЫЕ РАСХОДЫ (водоснабжение)</t>
  </si>
  <si>
    <t xml:space="preserve">ПРОЧИЕ ПРЯМЫЕ РАСХОДЫ (водоотведение) </t>
  </si>
  <si>
    <t xml:space="preserve">Расчет амортизационных отчислений в тариф на 2017 год </t>
  </si>
  <si>
    <t xml:space="preserve">имущественный комплекс 
Нерехтское представительство </t>
  </si>
  <si>
    <t xml:space="preserve">имущественный комплекс 
</t>
  </si>
  <si>
    <t xml:space="preserve">Транспортная служба </t>
  </si>
  <si>
    <t xml:space="preserve">Управление </t>
  </si>
  <si>
    <t xml:space="preserve">Определение расходов на электроэнергию </t>
  </si>
  <si>
    <t>факт2015 г.</t>
  </si>
  <si>
    <t>факт 2016 (истекший период)</t>
  </si>
  <si>
    <t>предложения предприятия
2017</t>
  </si>
  <si>
    <t>предложения предприятия
2018</t>
  </si>
  <si>
    <t>факт (истекший период) 2016 г.</t>
  </si>
  <si>
    <t>2017 год
 (предложения предприятия)</t>
  </si>
  <si>
    <t>2018 год
 (предложения предприятия)</t>
  </si>
  <si>
    <t>2019 год
 (предложения предприятия)</t>
  </si>
  <si>
    <t>в т.ч. оплата услуг УК 3</t>
  </si>
  <si>
    <t xml:space="preserve">
5(2010)) от 10.03.2010 г.)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</si>
</sst>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%"/>
    <numFmt numFmtId="169" formatCode="#,##0.0"/>
    <numFmt numFmtId="170" formatCode="0.0"/>
    <numFmt numFmtId="171" formatCode="#,##0.000"/>
    <numFmt numFmtId="172" formatCode="#,##0.0000"/>
    <numFmt numFmtId="173" formatCode="0.00000"/>
    <numFmt numFmtId="174" formatCode="0.0000"/>
    <numFmt numFmtId="175" formatCode="0.000"/>
    <numFmt numFmtId="176" formatCode="0.000000"/>
    <numFmt numFmtId="177" formatCode="#,##0.00000"/>
    <numFmt numFmtId="178" formatCode="#,##0.000000"/>
    <numFmt numFmtId="179" formatCode="#,##0.0000000"/>
    <numFmt numFmtId="180" formatCode="_(* #,##0.000_);_(* \(#,##0.000\);_(* &quot;-&quot;??_);_(@_)"/>
    <numFmt numFmtId="181" formatCode="#,###.00"/>
    <numFmt numFmtId="182" formatCode="_-* #,##0.0000000_р_._-;\-* #,##0.0000000_р_._-;_-* &quot;-&quot;???????_р_._-;_-@_-"/>
    <numFmt numFmtId="183" formatCode="0.000%"/>
    <numFmt numFmtId="184" formatCode="0.0000000"/>
    <numFmt numFmtId="185" formatCode="0.00000000"/>
    <numFmt numFmtId="186" formatCode="0.000000000"/>
    <numFmt numFmtId="187" formatCode="dd/mm/yy"/>
    <numFmt numFmtId="188" formatCode="#,##0.00;\-#,##0.00"/>
    <numFmt numFmtId="189" formatCode="\ #,##0.00\ ;&quot; (&quot;#,##0.00\);&quot; -&quot;#\ ;@\ "/>
    <numFmt numFmtId="190" formatCode="#,##0;[Red]\-#,##0"/>
    <numFmt numFmtId="191" formatCode="0.00000%"/>
    <numFmt numFmtId="192" formatCode="0.0000%"/>
    <numFmt numFmtId="193" formatCode="0.0000000000"/>
    <numFmt numFmtId="194" formatCode="0.00000000000"/>
    <numFmt numFmtId="195" formatCode="0.000000000000"/>
    <numFmt numFmtId="196" formatCode="0.0000000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;[Red]\-#,##0.00"/>
    <numFmt numFmtId="202" formatCode="#,##0.000;[Red]\-#,##0.000"/>
    <numFmt numFmtId="203" formatCode="0.00;[Red]\-0.00"/>
    <numFmt numFmtId="204" formatCode="#"/>
    <numFmt numFmtId="205" formatCode="#,##0.0;[Red]\-#,##0.0"/>
    <numFmt numFmtId="206" formatCode="0;[Red]\-0"/>
    <numFmt numFmtId="207" formatCode="0.0;[Red]\-0.0"/>
  </numFmts>
  <fonts count="171">
    <font>
      <sz val="10"/>
      <name val="Arial"/>
      <family val="0"/>
    </font>
    <font>
      <sz val="10"/>
      <name val="Arial Cyr"/>
      <family val="0"/>
    </font>
    <font>
      <b/>
      <u val="single"/>
      <sz val="11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i/>
      <sz val="10.5"/>
      <name val="Times New Roman"/>
      <family val="1"/>
    </font>
    <font>
      <sz val="10.5"/>
      <name val="Times New Roman"/>
      <family val="1"/>
    </font>
    <font>
      <sz val="8"/>
      <name val="Arial"/>
      <family val="2"/>
    </font>
    <font>
      <b/>
      <sz val="10.5"/>
      <name val="Times New Roman"/>
      <family val="1"/>
    </font>
    <font>
      <sz val="10.5"/>
      <name val="Times New Roman CYR"/>
      <family val="1"/>
    </font>
    <font>
      <b/>
      <sz val="10.5"/>
      <name val="Times New Roman Cyr"/>
      <family val="0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i/>
      <sz val="10.5"/>
      <color indexed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i/>
      <sz val="7"/>
      <name val="Arial"/>
      <family val="2"/>
    </font>
    <font>
      <b/>
      <i/>
      <sz val="12"/>
      <name val="Arial Cyr"/>
      <family val="2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0"/>
      <name val="Arial"/>
      <family val="2"/>
    </font>
    <font>
      <sz val="12"/>
      <color indexed="14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i/>
      <sz val="12"/>
      <name val="Arial"/>
      <family val="2"/>
    </font>
    <font>
      <b/>
      <i/>
      <sz val="12"/>
      <color indexed="10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i/>
      <sz val="10"/>
      <name val="Arial Cyr"/>
      <family val="2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0"/>
      <color indexed="10"/>
      <name val="Times New Roman"/>
      <family val="1"/>
    </font>
    <font>
      <i/>
      <sz val="11"/>
      <name val="Times New Roman"/>
      <family val="1"/>
    </font>
    <font>
      <sz val="10"/>
      <name val="Helv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8"/>
      <name val="Arial Cyr"/>
      <family val="0"/>
    </font>
    <font>
      <b/>
      <sz val="13"/>
      <name val="Times New Roman"/>
      <family val="1"/>
    </font>
    <font>
      <b/>
      <i/>
      <sz val="11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2"/>
      <name val="Tahoma"/>
      <family val="2"/>
    </font>
    <font>
      <sz val="9"/>
      <color indexed="21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.5"/>
      <name val="Arial"/>
      <family val="2"/>
    </font>
    <font>
      <b/>
      <i/>
      <sz val="11"/>
      <name val="Arial"/>
      <family val="2"/>
    </font>
    <font>
      <i/>
      <sz val="12"/>
      <name val="Times New Roman"/>
      <family val="1"/>
    </font>
    <font>
      <b/>
      <sz val="16"/>
      <name val="Times New Roman"/>
      <family val="1"/>
    </font>
    <font>
      <sz val="11"/>
      <color indexed="9"/>
      <name val="Times New Roman"/>
      <family val="1"/>
    </font>
    <font>
      <sz val="11"/>
      <color indexed="16"/>
      <name val="Times New Roman"/>
      <family val="1"/>
    </font>
    <font>
      <sz val="10"/>
      <color indexed="9"/>
      <name val="Arial"/>
      <family val="2"/>
    </font>
    <font>
      <sz val="11"/>
      <name val="Arial Cyr"/>
      <family val="2"/>
    </font>
    <font>
      <i/>
      <sz val="10"/>
      <name val="Arial Cyr"/>
      <family val="0"/>
    </font>
    <font>
      <b/>
      <i/>
      <sz val="10"/>
      <name val="Times New Roman"/>
      <family val="1"/>
    </font>
    <font>
      <sz val="10"/>
      <color indexed="21"/>
      <name val="Arial"/>
      <family val="2"/>
    </font>
    <font>
      <b/>
      <sz val="10"/>
      <color indexed="21"/>
      <name val="Arial"/>
      <family val="2"/>
    </font>
    <font>
      <sz val="13"/>
      <name val="Times New Roman"/>
      <family val="1"/>
    </font>
    <font>
      <sz val="11"/>
      <name val="Tahoma"/>
      <family val="2"/>
    </font>
    <font>
      <b/>
      <i/>
      <sz val="10"/>
      <name val="Times New Roman Cyr"/>
      <family val="1"/>
    </font>
    <font>
      <i/>
      <sz val="10"/>
      <name val="Times New Roman CYR"/>
      <family val="1"/>
    </font>
    <font>
      <b/>
      <sz val="11"/>
      <color indexed="9"/>
      <name val="Times New Roman"/>
      <family val="1"/>
    </font>
    <font>
      <sz val="10"/>
      <color indexed="24"/>
      <name val="Arial"/>
      <family val="2"/>
    </font>
    <font>
      <b/>
      <sz val="10"/>
      <color indexed="24"/>
      <name val="Arial"/>
      <family val="2"/>
    </font>
    <font>
      <sz val="9"/>
      <color indexed="24"/>
      <name val="Arial"/>
      <family val="2"/>
    </font>
    <font>
      <sz val="8"/>
      <color indexed="9"/>
      <name val="Arial"/>
      <family val="2"/>
    </font>
    <font>
      <sz val="10.5"/>
      <name val="Arial"/>
      <family val="2"/>
    </font>
    <font>
      <b/>
      <sz val="10"/>
      <color indexed="9"/>
      <name val="Arial"/>
      <family val="2"/>
    </font>
    <font>
      <sz val="10.5"/>
      <color indexed="24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8"/>
      <color indexed="21"/>
      <name val="Arial"/>
      <family val="2"/>
    </font>
    <font>
      <b/>
      <sz val="10"/>
      <color indexed="8"/>
      <name val="Arial"/>
      <family val="2"/>
    </font>
    <font>
      <b/>
      <sz val="10"/>
      <color indexed="58"/>
      <name val="Arial"/>
      <family val="2"/>
    </font>
    <font>
      <sz val="10"/>
      <color indexed="58"/>
      <name val="Arial"/>
      <family val="2"/>
    </font>
    <font>
      <b/>
      <sz val="8"/>
      <name val="Arial"/>
      <family val="2"/>
    </font>
    <font>
      <sz val="12"/>
      <color indexed="9"/>
      <name val="Times New Roman"/>
      <family val="1"/>
    </font>
    <font>
      <i/>
      <sz val="9"/>
      <name val="Arial"/>
      <family val="2"/>
    </font>
    <font>
      <sz val="16"/>
      <name val="Times New Roman"/>
      <family val="1"/>
    </font>
    <font>
      <sz val="10"/>
      <color indexed="9"/>
      <name val="Arial Cyr"/>
      <family val="2"/>
    </font>
    <font>
      <b/>
      <sz val="11.5"/>
      <name val="Times New Roman"/>
      <family val="1"/>
    </font>
    <font>
      <sz val="11.5"/>
      <name val="Times New Roman"/>
      <family val="1"/>
    </font>
    <font>
      <b/>
      <sz val="11.5"/>
      <color indexed="10"/>
      <name val="Times New Roman"/>
      <family val="1"/>
    </font>
    <font>
      <i/>
      <sz val="11.5"/>
      <name val="Times New Roman"/>
      <family val="1"/>
    </font>
    <font>
      <sz val="11.5"/>
      <name val="Times New Roman CYR"/>
      <family val="1"/>
    </font>
    <font>
      <b/>
      <sz val="18"/>
      <name val="Times New Roman"/>
      <family val="1"/>
    </font>
    <font>
      <sz val="11.5"/>
      <color indexed="9"/>
      <name val="Times New Roman"/>
      <family val="1"/>
    </font>
    <font>
      <b/>
      <i/>
      <sz val="16"/>
      <name val="Times New Roman"/>
      <family val="1"/>
    </font>
    <font>
      <sz val="20"/>
      <name val="Times New Roman"/>
      <family val="1"/>
    </font>
    <font>
      <sz val="14"/>
      <name val="Arial Cyr"/>
      <family val="0"/>
    </font>
    <font>
      <b/>
      <sz val="12"/>
      <color indexed="8"/>
      <name val="Times New Roman"/>
      <family val="1"/>
    </font>
    <font>
      <i/>
      <sz val="10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4"/>
      <color indexed="44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2"/>
      <color indexed="49"/>
      <name val="Times New Roman"/>
      <family val="1"/>
    </font>
    <font>
      <b/>
      <sz val="14"/>
      <color indexed="31"/>
      <name val="Times New Roman"/>
      <family val="1"/>
    </font>
    <font>
      <b/>
      <sz val="14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4"/>
      <color theme="3" tint="0.5999900102615356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i/>
      <sz val="12"/>
      <color theme="0"/>
      <name val="Times New Roman"/>
      <family val="1"/>
    </font>
    <font>
      <i/>
      <sz val="12"/>
      <color theme="0"/>
      <name val="Times New Roman"/>
      <family val="1"/>
    </font>
    <font>
      <b/>
      <sz val="12"/>
      <color theme="8"/>
      <name val="Times New Roman"/>
      <family val="1"/>
    </font>
    <font>
      <b/>
      <sz val="14"/>
      <color theme="3" tint="0.7999799847602844"/>
      <name val="Times New Roman"/>
      <family val="1"/>
    </font>
    <font>
      <b/>
      <sz val="14"/>
      <color rgb="FFFF0000"/>
      <name val="Times New Roman"/>
      <family val="1"/>
    </font>
    <font>
      <i/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2"/>
      <color rgb="FF00B0F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6"/>
      </left>
      <right style="thin">
        <color indexed="26"/>
      </right>
      <top>
        <color indexed="63"/>
      </top>
      <bottom style="thin">
        <color indexed="26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6" fillId="2" borderId="0" applyNumberFormat="0" applyBorder="0" applyAlignment="0" applyProtection="0"/>
    <xf numFmtId="0" fontId="44" fillId="3" borderId="0" applyNumberFormat="0" applyBorder="0" applyAlignment="0" applyProtection="0"/>
    <xf numFmtId="0" fontId="136" fillId="4" borderId="0" applyNumberFormat="0" applyBorder="0" applyAlignment="0" applyProtection="0"/>
    <xf numFmtId="0" fontId="44" fillId="5" borderId="0" applyNumberFormat="0" applyBorder="0" applyAlignment="0" applyProtection="0"/>
    <xf numFmtId="0" fontId="136" fillId="6" borderId="0" applyNumberFormat="0" applyBorder="0" applyAlignment="0" applyProtection="0"/>
    <xf numFmtId="0" fontId="44" fillId="7" borderId="0" applyNumberFormat="0" applyBorder="0" applyAlignment="0" applyProtection="0"/>
    <xf numFmtId="0" fontId="136" fillId="8" borderId="0" applyNumberFormat="0" applyBorder="0" applyAlignment="0" applyProtection="0"/>
    <xf numFmtId="0" fontId="44" fillId="3" borderId="0" applyNumberFormat="0" applyBorder="0" applyAlignment="0" applyProtection="0"/>
    <xf numFmtId="0" fontId="136" fillId="9" borderId="0" applyNumberFormat="0" applyBorder="0" applyAlignment="0" applyProtection="0"/>
    <xf numFmtId="0" fontId="44" fillId="10" borderId="0" applyNumberFormat="0" applyBorder="0" applyAlignment="0" applyProtection="0"/>
    <xf numFmtId="0" fontId="136" fillId="11" borderId="0" applyNumberFormat="0" applyBorder="0" applyAlignment="0" applyProtection="0"/>
    <xf numFmtId="0" fontId="44" fillId="5" borderId="0" applyNumberFormat="0" applyBorder="0" applyAlignment="0" applyProtection="0"/>
    <xf numFmtId="0" fontId="136" fillId="12" borderId="0" applyNumberFormat="0" applyBorder="0" applyAlignment="0" applyProtection="0"/>
    <xf numFmtId="0" fontId="44" fillId="13" borderId="0" applyNumberFormat="0" applyBorder="0" applyAlignment="0" applyProtection="0"/>
    <xf numFmtId="0" fontId="136" fillId="14" borderId="0" applyNumberFormat="0" applyBorder="0" applyAlignment="0" applyProtection="0"/>
    <xf numFmtId="0" fontId="44" fillId="15" borderId="0" applyNumberFormat="0" applyBorder="0" applyAlignment="0" applyProtection="0"/>
    <xf numFmtId="0" fontId="136" fillId="16" borderId="0" applyNumberFormat="0" applyBorder="0" applyAlignment="0" applyProtection="0"/>
    <xf numFmtId="0" fontId="44" fillId="17" borderId="0" applyNumberFormat="0" applyBorder="0" applyAlignment="0" applyProtection="0"/>
    <xf numFmtId="0" fontId="136" fillId="18" borderId="0" applyNumberFormat="0" applyBorder="0" applyAlignment="0" applyProtection="0"/>
    <xf numFmtId="0" fontId="44" fillId="13" borderId="0" applyNumberFormat="0" applyBorder="0" applyAlignment="0" applyProtection="0"/>
    <xf numFmtId="0" fontId="136" fillId="19" borderId="0" applyNumberFormat="0" applyBorder="0" applyAlignment="0" applyProtection="0"/>
    <xf numFmtId="0" fontId="44" fillId="20" borderId="0" applyNumberFormat="0" applyBorder="0" applyAlignment="0" applyProtection="0"/>
    <xf numFmtId="0" fontId="136" fillId="21" borderId="0" applyNumberFormat="0" applyBorder="0" applyAlignment="0" applyProtection="0"/>
    <xf numFmtId="0" fontId="44" fillId="5" borderId="0" applyNumberFormat="0" applyBorder="0" applyAlignment="0" applyProtection="0"/>
    <xf numFmtId="0" fontId="137" fillId="22" borderId="0" applyNumberFormat="0" applyBorder="0" applyAlignment="0" applyProtection="0"/>
    <xf numFmtId="0" fontId="45" fillId="23" borderId="0" applyNumberFormat="0" applyBorder="0" applyAlignment="0" applyProtection="0"/>
    <xf numFmtId="0" fontId="137" fillId="24" borderId="0" applyNumberFormat="0" applyBorder="0" applyAlignment="0" applyProtection="0"/>
    <xf numFmtId="0" fontId="45" fillId="15" borderId="0" applyNumberFormat="0" applyBorder="0" applyAlignment="0" applyProtection="0"/>
    <xf numFmtId="0" fontId="137" fillId="25" borderId="0" applyNumberFormat="0" applyBorder="0" applyAlignment="0" applyProtection="0"/>
    <xf numFmtId="0" fontId="45" fillId="17" borderId="0" applyNumberFormat="0" applyBorder="0" applyAlignment="0" applyProtection="0"/>
    <xf numFmtId="0" fontId="137" fillId="26" borderId="0" applyNumberFormat="0" applyBorder="0" applyAlignment="0" applyProtection="0"/>
    <xf numFmtId="0" fontId="45" fillId="13" borderId="0" applyNumberFormat="0" applyBorder="0" applyAlignment="0" applyProtection="0"/>
    <xf numFmtId="0" fontId="137" fillId="27" borderId="0" applyNumberFormat="0" applyBorder="0" applyAlignment="0" applyProtection="0"/>
    <xf numFmtId="0" fontId="45" fillId="23" borderId="0" applyNumberFormat="0" applyBorder="0" applyAlignment="0" applyProtection="0"/>
    <xf numFmtId="0" fontId="137" fillId="28" borderId="0" applyNumberFormat="0" applyBorder="0" applyAlignment="0" applyProtection="0"/>
    <xf numFmtId="0" fontId="45" fillId="5" borderId="0" applyNumberFormat="0" applyBorder="0" applyAlignment="0" applyProtection="0"/>
    <xf numFmtId="0" fontId="137" fillId="29" borderId="0" applyNumberFormat="0" applyBorder="0" applyAlignment="0" applyProtection="0"/>
    <xf numFmtId="0" fontId="137" fillId="30" borderId="0" applyNumberFormat="0" applyBorder="0" applyAlignment="0" applyProtection="0"/>
    <xf numFmtId="0" fontId="137" fillId="31" borderId="0" applyNumberFormat="0" applyBorder="0" applyAlignment="0" applyProtection="0"/>
    <xf numFmtId="0" fontId="137" fillId="32" borderId="0" applyNumberFormat="0" applyBorder="0" applyAlignment="0" applyProtection="0"/>
    <xf numFmtId="0" fontId="137" fillId="33" borderId="0" applyNumberFormat="0" applyBorder="0" applyAlignment="0" applyProtection="0"/>
    <xf numFmtId="0" fontId="137" fillId="34" borderId="0" applyNumberFormat="0" applyBorder="0" applyAlignment="0" applyProtection="0"/>
    <xf numFmtId="0" fontId="138" fillId="35" borderId="1" applyNumberFormat="0" applyAlignment="0" applyProtection="0"/>
    <xf numFmtId="0" fontId="139" fillId="36" borderId="2" applyNumberFormat="0" applyAlignment="0" applyProtection="0"/>
    <xf numFmtId="0" fontId="140" fillId="36" borderId="1" applyNumberFormat="0" applyAlignment="0" applyProtection="0"/>
    <xf numFmtId="0" fontId="2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41" fillId="0" borderId="3" applyNumberFormat="0" applyFill="0" applyAlignment="0" applyProtection="0"/>
    <xf numFmtId="0" fontId="142" fillId="0" borderId="4" applyNumberFormat="0" applyFill="0" applyAlignment="0" applyProtection="0"/>
    <xf numFmtId="0" fontId="143" fillId="0" borderId="5" applyNumberFormat="0" applyFill="0" applyAlignment="0" applyProtection="0"/>
    <xf numFmtId="0" fontId="143" fillId="0" borderId="0" applyNumberFormat="0" applyFill="0" applyBorder="0" applyAlignment="0" applyProtection="0"/>
    <xf numFmtId="4" fontId="5" fillId="37" borderId="0" applyBorder="0">
      <alignment horizontal="right"/>
      <protection/>
    </xf>
    <xf numFmtId="0" fontId="144" fillId="0" borderId="6" applyNumberFormat="0" applyFill="0" applyAlignment="0" applyProtection="0"/>
    <xf numFmtId="0" fontId="145" fillId="38" borderId="7" applyNumberFormat="0" applyAlignment="0" applyProtection="0"/>
    <xf numFmtId="0" fontId="146" fillId="0" borderId="0" applyNumberFormat="0" applyFill="0" applyBorder="0" applyAlignment="0" applyProtection="0"/>
    <xf numFmtId="0" fontId="147" fillId="39" borderId="0" applyNumberFormat="0" applyBorder="0" applyAlignment="0" applyProtection="0"/>
    <xf numFmtId="0" fontId="4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3" fillId="0" borderId="0">
      <alignment horizontal="left"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5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3" fillId="0" borderId="0" applyNumberFormat="0" applyFill="0" applyBorder="0" applyAlignment="0" applyProtection="0"/>
    <xf numFmtId="0" fontId="148" fillId="40" borderId="0" applyNumberFormat="0" applyBorder="0" applyAlignment="0" applyProtection="0"/>
    <xf numFmtId="0" fontId="149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Protection="0">
      <alignment vertical="top"/>
    </xf>
    <xf numFmtId="0" fontId="150" fillId="0" borderId="9" applyNumberFormat="0" applyFill="0" applyAlignment="0" applyProtection="0"/>
    <xf numFmtId="0" fontId="43" fillId="0" borderId="0">
      <alignment/>
      <protection/>
    </xf>
    <xf numFmtId="0" fontId="15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152" fillId="42" borderId="0" applyNumberFormat="0" applyBorder="0" applyAlignment="0" applyProtection="0"/>
  </cellStyleXfs>
  <cellXfs count="1920">
    <xf numFmtId="0" fontId="0" fillId="0" borderId="0" xfId="0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11" fillId="0" borderId="10" xfId="0" applyFont="1" applyBorder="1" applyAlignment="1">
      <alignment horizontal="right"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right" vertical="center" wrapText="1"/>
    </xf>
    <xf numFmtId="0" fontId="14" fillId="0" borderId="10" xfId="0" applyFont="1" applyBorder="1" applyAlignment="1">
      <alignment horizontal="right" vertical="center" wrapText="1"/>
    </xf>
    <xf numFmtId="171" fontId="7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49" fontId="12" fillId="0" borderId="10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right" vertical="top" wrapText="1"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wrapText="1"/>
    </xf>
    <xf numFmtId="168" fontId="12" fillId="3" borderId="13" xfId="74" applyNumberFormat="1" applyFont="1" applyFill="1" applyBorder="1" applyAlignment="1" applyProtection="1">
      <alignment horizontal="center" vertical="center" wrapText="1"/>
      <protection/>
    </xf>
    <xf numFmtId="168" fontId="12" fillId="3" borderId="11" xfId="74" applyNumberFormat="1" applyFont="1" applyFill="1" applyBorder="1" applyAlignment="1" applyProtection="1">
      <alignment horizontal="center" vertical="center" wrapText="1"/>
      <protection/>
    </xf>
    <xf numFmtId="168" fontId="12" fillId="3" borderId="14" xfId="74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4" fontId="12" fillId="0" borderId="14" xfId="0" applyNumberFormat="1" applyFont="1" applyBorder="1" applyAlignment="1">
      <alignment horizontal="center" vertical="center"/>
    </xf>
    <xf numFmtId="0" fontId="16" fillId="0" borderId="0" xfId="91" applyFont="1" applyBorder="1" applyAlignment="1">
      <alignment horizontal="left" vertical="center" wrapText="1"/>
      <protection/>
    </xf>
    <xf numFmtId="0" fontId="15" fillId="0" borderId="0" xfId="91" applyFont="1" applyBorder="1" applyAlignment="1">
      <alignment horizontal="left" vertical="center" wrapText="1"/>
      <protection/>
    </xf>
    <xf numFmtId="0" fontId="15" fillId="0" borderId="15" xfId="91" applyFont="1" applyBorder="1" applyAlignment="1">
      <alignment horizontal="left"/>
      <protection/>
    </xf>
    <xf numFmtId="3" fontId="15" fillId="0" borderId="16" xfId="91" applyNumberFormat="1" applyFont="1" applyFill="1" applyBorder="1" applyAlignment="1">
      <alignment horizontal="left"/>
      <protection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0" fontId="12" fillId="0" borderId="14" xfId="0" applyFont="1" applyBorder="1" applyAlignment="1">
      <alignment horizontal="center"/>
    </xf>
    <xf numFmtId="3" fontId="12" fillId="0" borderId="14" xfId="0" applyNumberFormat="1" applyFont="1" applyBorder="1" applyAlignment="1">
      <alignment horizontal="center"/>
    </xf>
    <xf numFmtId="0" fontId="18" fillId="0" borderId="14" xfId="0" applyFont="1" applyBorder="1" applyAlignment="1">
      <alignment horizontal="left" vertical="center" wrapText="1" indent="1"/>
    </xf>
    <xf numFmtId="0" fontId="18" fillId="0" borderId="14" xfId="0" applyFont="1" applyBorder="1" applyAlignment="1">
      <alignment vertical="center" wrapText="1"/>
    </xf>
    <xf numFmtId="169" fontId="12" fillId="0" borderId="14" xfId="0" applyNumberFormat="1" applyFont="1" applyFill="1" applyBorder="1" applyAlignment="1">
      <alignment horizontal="right" vertical="center" wrapText="1"/>
    </xf>
    <xf numFmtId="0" fontId="19" fillId="0" borderId="14" xfId="0" applyFont="1" applyBorder="1" applyAlignment="1">
      <alignment vertical="center" wrapText="1"/>
    </xf>
    <xf numFmtId="0" fontId="17" fillId="0" borderId="14" xfId="0" applyFont="1" applyBorder="1" applyAlignment="1">
      <alignment horizontal="left" vertical="center" wrapText="1" indent="1"/>
    </xf>
    <xf numFmtId="0" fontId="17" fillId="0" borderId="14" xfId="0" applyFont="1" applyBorder="1" applyAlignment="1">
      <alignment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 horizontal="center" vertical="center"/>
    </xf>
    <xf numFmtId="0" fontId="14" fillId="0" borderId="0" xfId="0" applyFont="1" applyAlignment="1">
      <alignment/>
    </xf>
    <xf numFmtId="4" fontId="14" fillId="0" borderId="14" xfId="0" applyNumberFormat="1" applyFont="1" applyBorder="1" applyAlignment="1">
      <alignment horizontal="center" vertical="center"/>
    </xf>
    <xf numFmtId="4" fontId="14" fillId="0" borderId="14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4" fontId="0" fillId="0" borderId="14" xfId="0" applyNumberFormat="1" applyBorder="1" applyAlignment="1">
      <alignment/>
    </xf>
    <xf numFmtId="171" fontId="0" fillId="0" borderId="14" xfId="0" applyNumberForma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4" fontId="0" fillId="0" borderId="12" xfId="0" applyNumberFormat="1" applyBorder="1" applyAlignment="1">
      <alignment/>
    </xf>
    <xf numFmtId="0" fontId="21" fillId="0" borderId="0" xfId="0" applyFont="1" applyFill="1" applyAlignment="1">
      <alignment horizontal="right"/>
    </xf>
    <xf numFmtId="0" fontId="20" fillId="0" borderId="0" xfId="0" applyFont="1" applyFill="1" applyAlignment="1">
      <alignment horizontal="right"/>
    </xf>
    <xf numFmtId="0" fontId="21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169" fontId="7" fillId="0" borderId="0" xfId="0" applyNumberFormat="1" applyFont="1" applyAlignment="1">
      <alignment/>
    </xf>
    <xf numFmtId="0" fontId="7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168" fontId="12" fillId="3" borderId="20" xfId="74" applyNumberFormat="1" applyFont="1" applyFill="1" applyBorder="1" applyAlignment="1" applyProtection="1">
      <alignment horizontal="center" vertical="center" wrapText="1"/>
      <protection/>
    </xf>
    <xf numFmtId="2" fontId="7" fillId="0" borderId="0" xfId="0" applyNumberFormat="1" applyFont="1" applyAlignment="1">
      <alignment/>
    </xf>
    <xf numFmtId="0" fontId="12" fillId="0" borderId="12" xfId="94" applyNumberFormat="1" applyFont="1" applyBorder="1" applyAlignment="1">
      <alignment horizontal="left" vertical="center" wrapText="1"/>
      <protection/>
    </xf>
    <xf numFmtId="0" fontId="7" fillId="0" borderId="0" xfId="0" applyFont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2" xfId="0" applyFont="1" applyBorder="1" applyAlignment="1">
      <alignment vertical="center" wrapText="1"/>
    </xf>
    <xf numFmtId="0" fontId="12" fillId="0" borderId="12" xfId="96" applyNumberFormat="1" applyFont="1" applyBorder="1" applyAlignment="1">
      <alignment horizontal="left" vertical="center" wrapText="1"/>
      <protection/>
    </xf>
    <xf numFmtId="4" fontId="7" fillId="0" borderId="14" xfId="0" applyNumberFormat="1" applyFont="1" applyBorder="1" applyAlignment="1">
      <alignment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9" fontId="12" fillId="0" borderId="14" xfId="0" applyNumberFormat="1" applyFont="1" applyBorder="1" applyAlignment="1">
      <alignment horizontal="center"/>
    </xf>
    <xf numFmtId="0" fontId="1" fillId="0" borderId="0" xfId="75">
      <alignment/>
      <protection/>
    </xf>
    <xf numFmtId="0" fontId="47" fillId="0" borderId="0" xfId="75" applyFont="1">
      <alignment/>
      <protection/>
    </xf>
    <xf numFmtId="0" fontId="14" fillId="0" borderId="13" xfId="83" applyFont="1" applyBorder="1" applyAlignment="1">
      <alignment horizontal="center" vertical="center" wrapText="1"/>
      <protection/>
    </xf>
    <xf numFmtId="0" fontId="14" fillId="0" borderId="11" xfId="83" applyFont="1" applyBorder="1" applyAlignment="1">
      <alignment horizontal="center" vertical="center" wrapText="1"/>
      <protection/>
    </xf>
    <xf numFmtId="0" fontId="14" fillId="0" borderId="11" xfId="83" applyFont="1" applyFill="1" applyBorder="1" applyAlignment="1">
      <alignment horizontal="center" vertical="center" wrapText="1"/>
      <protection/>
    </xf>
    <xf numFmtId="0" fontId="6" fillId="0" borderId="11" xfId="83" applyFont="1" applyBorder="1" applyAlignment="1">
      <alignment horizontal="center" vertical="center" wrapText="1"/>
      <protection/>
    </xf>
    <xf numFmtId="0" fontId="7" fillId="0" borderId="10" xfId="83" applyFont="1" applyBorder="1" applyAlignment="1">
      <alignment horizontal="center" vertical="center" wrapText="1"/>
      <protection/>
    </xf>
    <xf numFmtId="0" fontId="7" fillId="0" borderId="14" xfId="97" applyNumberFormat="1" applyFont="1" applyFill="1" applyBorder="1" applyAlignment="1">
      <alignment vertical="top" wrapText="1"/>
      <protection/>
    </xf>
    <xf numFmtId="0" fontId="7" fillId="0" borderId="14" xfId="83" applyFont="1" applyFill="1" applyBorder="1" applyAlignment="1">
      <alignment horizontal="center" vertical="center" wrapText="1"/>
      <protection/>
    </xf>
    <xf numFmtId="3" fontId="7" fillId="0" borderId="14" xfId="83" applyNumberFormat="1" applyFont="1" applyBorder="1" applyAlignment="1">
      <alignment horizontal="center" vertical="center" wrapText="1"/>
      <protection/>
    </xf>
    <xf numFmtId="3" fontId="7" fillId="0" borderId="14" xfId="83" applyNumberFormat="1" applyFont="1" applyBorder="1" applyAlignment="1">
      <alignment horizontal="center"/>
      <protection/>
    </xf>
    <xf numFmtId="0" fontId="7" fillId="43" borderId="14" xfId="83" applyFont="1" applyFill="1" applyBorder="1" applyAlignment="1">
      <alignment horizontal="center" vertical="center" wrapText="1"/>
      <protection/>
    </xf>
    <xf numFmtId="0" fontId="7" fillId="0" borderId="14" xfId="97" applyFont="1" applyFill="1" applyBorder="1" applyAlignment="1">
      <alignment vertical="top"/>
      <protection/>
    </xf>
    <xf numFmtId="0" fontId="48" fillId="44" borderId="21" xfId="83" applyFont="1" applyFill="1" applyBorder="1" applyAlignment="1">
      <alignment horizontal="left" vertical="center" wrapText="1"/>
      <protection/>
    </xf>
    <xf numFmtId="0" fontId="39" fillId="0" borderId="22" xfId="75" applyFont="1" applyFill="1" applyBorder="1" applyAlignment="1">
      <alignment vertical="top"/>
      <protection/>
    </xf>
    <xf numFmtId="0" fontId="7" fillId="0" borderId="0" xfId="75" applyFont="1">
      <alignment/>
      <protection/>
    </xf>
    <xf numFmtId="0" fontId="14" fillId="0" borderId="10" xfId="83" applyFont="1" applyBorder="1" applyAlignment="1">
      <alignment horizontal="center" vertical="center" wrapText="1"/>
      <protection/>
    </xf>
    <xf numFmtId="0" fontId="39" fillId="0" borderId="22" xfId="97" applyFont="1" applyFill="1" applyBorder="1" applyAlignment="1">
      <alignment vertical="top"/>
      <protection/>
    </xf>
    <xf numFmtId="0" fontId="14" fillId="0" borderId="14" xfId="83" applyFont="1" applyFill="1" applyBorder="1" applyAlignment="1">
      <alignment horizontal="center" vertical="center" wrapText="1"/>
      <protection/>
    </xf>
    <xf numFmtId="0" fontId="14" fillId="0" borderId="14" xfId="83" applyFont="1" applyBorder="1" applyAlignment="1">
      <alignment horizontal="center" vertical="center" wrapText="1"/>
      <protection/>
    </xf>
    <xf numFmtId="0" fontId="6" fillId="0" borderId="14" xfId="83" applyFont="1" applyBorder="1" applyAlignment="1">
      <alignment horizontal="center" vertical="center" wrapText="1"/>
      <protection/>
    </xf>
    <xf numFmtId="0" fontId="7" fillId="0" borderId="14" xfId="75" applyFont="1" applyBorder="1" applyAlignment="1">
      <alignment horizontal="center"/>
      <protection/>
    </xf>
    <xf numFmtId="0" fontId="7" fillId="0" borderId="10" xfId="75" applyFont="1" applyBorder="1">
      <alignment/>
      <protection/>
    </xf>
    <xf numFmtId="0" fontId="39" fillId="0" borderId="23" xfId="97" applyFont="1" applyFill="1" applyBorder="1" applyAlignment="1">
      <alignment vertical="top"/>
      <protection/>
    </xf>
    <xf numFmtId="0" fontId="7" fillId="0" borderId="14" xfId="75" applyFont="1" applyBorder="1">
      <alignment/>
      <protection/>
    </xf>
    <xf numFmtId="0" fontId="7" fillId="0" borderId="10" xfId="83" applyFont="1" applyFill="1" applyBorder="1" applyAlignment="1">
      <alignment horizontal="center" vertical="center" wrapText="1"/>
      <protection/>
    </xf>
    <xf numFmtId="0" fontId="39" fillId="45" borderId="24" xfId="75" applyFont="1" applyFill="1" applyBorder="1" applyAlignment="1">
      <alignment horizontal="center"/>
      <protection/>
    </xf>
    <xf numFmtId="3" fontId="39" fillId="45" borderId="21" xfId="75" applyNumberFormat="1" applyFont="1" applyFill="1" applyBorder="1" applyAlignment="1">
      <alignment horizontal="center"/>
      <protection/>
    </xf>
    <xf numFmtId="0" fontId="39" fillId="45" borderId="21" xfId="75" applyFont="1" applyFill="1" applyBorder="1" applyAlignment="1">
      <alignment horizontal="center"/>
      <protection/>
    </xf>
    <xf numFmtId="3" fontId="6" fillId="0" borderId="0" xfId="75" applyNumberFormat="1" applyFont="1" applyAlignment="1">
      <alignment horizontal="center"/>
      <protection/>
    </xf>
    <xf numFmtId="3" fontId="1" fillId="0" borderId="0" xfId="75" applyNumberFormat="1">
      <alignment/>
      <protection/>
    </xf>
    <xf numFmtId="0" fontId="34" fillId="0" borderId="0" xfId="75" applyFont="1" applyAlignment="1">
      <alignment horizontal="center"/>
      <protection/>
    </xf>
    <xf numFmtId="0" fontId="1" fillId="0" borderId="0" xfId="75" applyFont="1">
      <alignment/>
      <protection/>
    </xf>
    <xf numFmtId="1" fontId="34" fillId="0" borderId="0" xfId="75" applyNumberFormat="1" applyFont="1" applyAlignment="1">
      <alignment horizontal="center"/>
      <protection/>
    </xf>
    <xf numFmtId="1" fontId="1" fillId="0" borderId="0" xfId="75" applyNumberFormat="1">
      <alignment/>
      <protection/>
    </xf>
    <xf numFmtId="0" fontId="12" fillId="0" borderId="25" xfId="0" applyFont="1" applyBorder="1" applyAlignment="1">
      <alignment/>
    </xf>
    <xf numFmtId="168" fontId="12" fillId="3" borderId="26" xfId="74" applyNumberFormat="1" applyFont="1" applyFill="1" applyBorder="1" applyAlignment="1" applyProtection="1">
      <alignment horizontal="center" vertical="center" wrapText="1"/>
      <protection/>
    </xf>
    <xf numFmtId="1" fontId="7" fillId="0" borderId="0" xfId="0" applyNumberFormat="1" applyFont="1" applyAlignment="1">
      <alignment/>
    </xf>
    <xf numFmtId="0" fontId="12" fillId="0" borderId="27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4" fontId="12" fillId="0" borderId="14" xfId="0" applyNumberFormat="1" applyFont="1" applyFill="1" applyBorder="1" applyAlignment="1">
      <alignment vertical="center" wrapText="1"/>
    </xf>
    <xf numFmtId="4" fontId="12" fillId="0" borderId="20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2" fontId="0" fillId="0" borderId="0" xfId="0" applyNumberFormat="1" applyAlignment="1">
      <alignment/>
    </xf>
    <xf numFmtId="0" fontId="41" fillId="0" borderId="0" xfId="0" applyFont="1" applyFill="1" applyAlignment="1">
      <alignment horizontal="right"/>
    </xf>
    <xf numFmtId="0" fontId="51" fillId="0" borderId="0" xfId="0" applyFont="1" applyFill="1" applyAlignment="1">
      <alignment/>
    </xf>
    <xf numFmtId="0" fontId="51" fillId="0" borderId="14" xfId="73" applyNumberFormat="1" applyFont="1" applyFill="1" applyBorder="1" applyAlignment="1" applyProtection="1">
      <alignment horizontal="center" vertical="center" wrapText="1"/>
      <protection/>
    </xf>
    <xf numFmtId="4" fontId="51" fillId="0" borderId="14" xfId="85" applyNumberFormat="1" applyFont="1" applyFill="1" applyBorder="1" applyAlignment="1" applyProtection="1">
      <alignment horizontal="center" vertical="center" wrapText="1"/>
      <protection/>
    </xf>
    <xf numFmtId="4" fontId="52" fillId="0" borderId="14" xfId="85" applyNumberFormat="1" applyFont="1" applyFill="1" applyBorder="1" applyAlignment="1" applyProtection="1">
      <alignment horizontal="center" vertical="center" wrapText="1"/>
      <protection/>
    </xf>
    <xf numFmtId="0" fontId="51" fillId="0" borderId="0" xfId="0" applyFont="1" applyFill="1" applyAlignment="1">
      <alignment horizontal="center" vertical="center"/>
    </xf>
    <xf numFmtId="0" fontId="51" fillId="0" borderId="14" xfId="0" applyFont="1" applyFill="1" applyBorder="1" applyAlignment="1" applyProtection="1">
      <alignment horizontal="center" vertical="center" wrapText="1"/>
      <protection/>
    </xf>
    <xf numFmtId="4" fontId="51" fillId="0" borderId="14" xfId="92" applyNumberFormat="1" applyFont="1" applyFill="1" applyBorder="1" applyAlignment="1" applyProtection="1">
      <alignment horizontal="center" vertical="center" wrapText="1"/>
      <protection/>
    </xf>
    <xf numFmtId="0" fontId="51" fillId="0" borderId="14" xfId="0" applyFont="1" applyFill="1" applyBorder="1" applyAlignment="1">
      <alignment/>
    </xf>
    <xf numFmtId="4" fontId="52" fillId="0" borderId="14" xfId="92" applyNumberFormat="1" applyFont="1" applyFill="1" applyBorder="1" applyAlignment="1" applyProtection="1">
      <alignment horizontal="center" vertical="center" wrapText="1"/>
      <protection/>
    </xf>
    <xf numFmtId="4" fontId="51" fillId="0" borderId="0" xfId="0" applyNumberFormat="1" applyFont="1" applyFill="1" applyAlignment="1">
      <alignment/>
    </xf>
    <xf numFmtId="49" fontId="51" fillId="0" borderId="14" xfId="92" applyNumberFormat="1" applyFont="1" applyFill="1" applyBorder="1" applyAlignment="1" applyProtection="1">
      <alignment horizontal="center" vertical="center" wrapText="1"/>
      <protection/>
    </xf>
    <xf numFmtId="4" fontId="53" fillId="0" borderId="14" xfId="92" applyNumberFormat="1" applyFont="1" applyFill="1" applyBorder="1" applyAlignment="1" applyProtection="1">
      <alignment horizontal="right" vertical="center" wrapText="1"/>
      <protection/>
    </xf>
    <xf numFmtId="49" fontId="51" fillId="0" borderId="14" xfId="80" applyNumberFormat="1" applyFont="1" applyFill="1" applyBorder="1" applyAlignment="1" applyProtection="1">
      <alignment horizontal="center" vertical="center" wrapText="1"/>
      <protection/>
    </xf>
    <xf numFmtId="4" fontId="51" fillId="0" borderId="14" xfId="92" applyNumberFormat="1" applyFont="1" applyFill="1" applyBorder="1" applyAlignment="1" applyProtection="1">
      <alignment horizontal="center" vertical="center" wrapText="1"/>
      <protection locked="0"/>
    </xf>
    <xf numFmtId="4" fontId="53" fillId="0" borderId="14" xfId="92" applyNumberFormat="1" applyFont="1" applyFill="1" applyBorder="1" applyAlignment="1" applyProtection="1">
      <alignment horizontal="right" vertical="center" wrapText="1"/>
      <protection locked="0"/>
    </xf>
    <xf numFmtId="4" fontId="52" fillId="0" borderId="14" xfId="92" applyNumberFormat="1" applyFont="1" applyFill="1" applyBorder="1" applyAlignment="1" applyProtection="1">
      <alignment horizontal="center" vertical="center" wrapText="1"/>
      <protection locked="0"/>
    </xf>
    <xf numFmtId="4" fontId="51" fillId="0" borderId="14" xfId="0" applyNumberFormat="1" applyFont="1" applyFill="1" applyBorder="1" applyAlignment="1">
      <alignment/>
    </xf>
    <xf numFmtId="169" fontId="51" fillId="0" borderId="14" xfId="92" applyNumberFormat="1" applyFont="1" applyFill="1" applyBorder="1" applyAlignment="1" applyProtection="1">
      <alignment horizontal="center" vertical="center" wrapText="1"/>
      <protection locked="0"/>
    </xf>
    <xf numFmtId="4" fontId="52" fillId="0" borderId="14" xfId="0" applyNumberFormat="1" applyFont="1" applyFill="1" applyBorder="1" applyAlignment="1">
      <alignment horizontal="center" vertical="center"/>
    </xf>
    <xf numFmtId="4" fontId="53" fillId="0" borderId="14" xfId="92" applyNumberFormat="1" applyFont="1" applyFill="1" applyBorder="1" applyAlignment="1" applyProtection="1">
      <alignment horizontal="center" vertical="center" wrapText="1"/>
      <protection locked="0"/>
    </xf>
    <xf numFmtId="2" fontId="51" fillId="0" borderId="0" xfId="0" applyNumberFormat="1" applyFont="1" applyFill="1" applyAlignment="1">
      <alignment/>
    </xf>
    <xf numFmtId="10" fontId="51" fillId="0" borderId="14" xfId="92" applyNumberFormat="1" applyFont="1" applyFill="1" applyBorder="1" applyAlignment="1" applyProtection="1">
      <alignment horizontal="center" vertical="center" wrapText="1"/>
      <protection/>
    </xf>
    <xf numFmtId="0" fontId="51" fillId="0" borderId="14" xfId="0" applyNumberFormat="1" applyFont="1" applyFill="1" applyBorder="1" applyAlignment="1" applyProtection="1">
      <alignment horizontal="center" vertical="center" wrapText="1"/>
      <protection/>
    </xf>
    <xf numFmtId="0" fontId="51" fillId="0" borderId="14" xfId="0" applyFont="1" applyFill="1" applyBorder="1" applyAlignment="1">
      <alignment horizontal="center" vertical="center"/>
    </xf>
    <xf numFmtId="4" fontId="51" fillId="0" borderId="14" xfId="0" applyNumberFormat="1" applyFont="1" applyFill="1" applyBorder="1" applyAlignment="1">
      <alignment horizontal="center" vertical="center"/>
    </xf>
    <xf numFmtId="0" fontId="51" fillId="0" borderId="26" xfId="0" applyFont="1" applyFill="1" applyBorder="1" applyAlignment="1" applyProtection="1">
      <alignment horizontal="center" vertical="center" wrapText="1"/>
      <protection/>
    </xf>
    <xf numFmtId="4" fontId="51" fillId="0" borderId="26" xfId="92" applyNumberFormat="1" applyFont="1" applyFill="1" applyBorder="1" applyAlignment="1" applyProtection="1">
      <alignment horizontal="center" vertical="center" wrapText="1"/>
      <protection/>
    </xf>
    <xf numFmtId="3" fontId="51" fillId="0" borderId="26" xfId="92" applyNumberFormat="1" applyFont="1" applyFill="1" applyBorder="1" applyAlignment="1" applyProtection="1">
      <alignment horizontal="center" vertical="center" wrapText="1"/>
      <protection/>
    </xf>
    <xf numFmtId="174" fontId="51" fillId="0" borderId="0" xfId="0" applyNumberFormat="1" applyFont="1" applyFill="1" applyAlignment="1">
      <alignment/>
    </xf>
    <xf numFmtId="3" fontId="52" fillId="0" borderId="14" xfId="85" applyNumberFormat="1" applyFont="1" applyFill="1" applyBorder="1" applyAlignment="1" applyProtection="1">
      <alignment horizontal="center" vertical="center" wrapText="1"/>
      <protection/>
    </xf>
    <xf numFmtId="3" fontId="52" fillId="0" borderId="14" xfId="92" applyNumberFormat="1" applyFont="1" applyFill="1" applyBorder="1" applyAlignment="1" applyProtection="1">
      <alignment horizontal="center" vertical="center" wrapText="1"/>
      <protection locked="0"/>
    </xf>
    <xf numFmtId="3" fontId="51" fillId="0" borderId="14" xfId="85" applyNumberFormat="1" applyFont="1" applyFill="1" applyBorder="1" applyAlignment="1" applyProtection="1">
      <alignment horizontal="center" vertical="center" wrapText="1"/>
      <protection/>
    </xf>
    <xf numFmtId="3" fontId="51" fillId="0" borderId="14" xfId="92" applyNumberFormat="1" applyFont="1" applyFill="1" applyBorder="1" applyAlignment="1" applyProtection="1">
      <alignment horizontal="center" vertical="center" wrapText="1"/>
      <protection locked="0"/>
    </xf>
    <xf numFmtId="49" fontId="51" fillId="0" borderId="14" xfId="73" applyNumberFormat="1" applyFont="1" applyFill="1" applyBorder="1" applyAlignment="1" applyProtection="1">
      <alignment horizontal="center" vertical="center" wrapText="1"/>
      <protection/>
    </xf>
    <xf numFmtId="9" fontId="51" fillId="0" borderId="14" xfId="105" applyFont="1" applyFill="1" applyBorder="1" applyAlignment="1" applyProtection="1">
      <alignment horizontal="center" vertical="center" wrapText="1"/>
      <protection/>
    </xf>
    <xf numFmtId="10" fontId="51" fillId="0" borderId="14" xfId="105" applyNumberFormat="1" applyFont="1" applyFill="1" applyBorder="1" applyAlignment="1" applyProtection="1">
      <alignment horizontal="center" vertical="center" wrapText="1"/>
      <protection/>
    </xf>
    <xf numFmtId="2" fontId="51" fillId="0" borderId="14" xfId="92" applyNumberFormat="1" applyFont="1" applyFill="1" applyBorder="1" applyAlignment="1" applyProtection="1">
      <alignment horizontal="center" vertical="center" wrapText="1"/>
      <protection/>
    </xf>
    <xf numFmtId="0" fontId="52" fillId="0" borderId="0" xfId="0" applyFont="1" applyFill="1" applyAlignment="1">
      <alignment/>
    </xf>
    <xf numFmtId="168" fontId="52" fillId="0" borderId="14" xfId="0" applyNumberFormat="1" applyFont="1" applyFill="1" applyBorder="1" applyAlignment="1" applyProtection="1">
      <alignment horizontal="center" vertical="center" wrapText="1"/>
      <protection/>
    </xf>
    <xf numFmtId="10" fontId="52" fillId="0" borderId="14" xfId="0" applyNumberFormat="1" applyFont="1" applyFill="1" applyBorder="1" applyAlignment="1" applyProtection="1">
      <alignment horizontal="center" vertical="center" wrapText="1"/>
      <protection/>
    </xf>
    <xf numFmtId="169" fontId="52" fillId="0" borderId="14" xfId="92" applyNumberFormat="1" applyFont="1" applyFill="1" applyBorder="1" applyAlignment="1" applyProtection="1">
      <alignment horizontal="center" vertical="center" wrapText="1"/>
      <protection/>
    </xf>
    <xf numFmtId="3" fontId="51" fillId="0" borderId="14" xfId="92" applyNumberFormat="1" applyFont="1" applyFill="1" applyBorder="1" applyAlignment="1" applyProtection="1">
      <alignment horizontal="center" vertical="center" wrapText="1"/>
      <protection/>
    </xf>
    <xf numFmtId="4" fontId="52" fillId="0" borderId="26" xfId="92" applyNumberFormat="1" applyFont="1" applyFill="1" applyBorder="1" applyAlignment="1" applyProtection="1">
      <alignment horizontal="center" vertical="center" wrapText="1"/>
      <protection/>
    </xf>
    <xf numFmtId="4" fontId="52" fillId="0" borderId="26" xfId="92" applyNumberFormat="1" applyFont="1" applyFill="1" applyBorder="1" applyAlignment="1" applyProtection="1">
      <alignment horizontal="center" vertical="center" wrapText="1"/>
      <protection locked="0"/>
    </xf>
    <xf numFmtId="3" fontId="52" fillId="0" borderId="14" xfId="92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>
      <alignment/>
    </xf>
    <xf numFmtId="3" fontId="53" fillId="0" borderId="14" xfId="92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Border="1" applyAlignment="1">
      <alignment/>
    </xf>
    <xf numFmtId="0" fontId="41" fillId="0" borderId="0" xfId="0" applyFont="1" applyAlignment="1">
      <alignment/>
    </xf>
    <xf numFmtId="168" fontId="12" fillId="45" borderId="14" xfId="74" applyNumberFormat="1" applyFont="1" applyFill="1" applyBorder="1" applyAlignment="1" applyProtection="1">
      <alignment horizontal="center" vertical="center" wrapText="1"/>
      <protection/>
    </xf>
    <xf numFmtId="169" fontId="14" fillId="45" borderId="14" xfId="91" applyNumberFormat="1" applyFont="1" applyFill="1" applyBorder="1" applyAlignment="1">
      <alignment horizontal="center" vertical="center" wrapText="1"/>
      <protection/>
    </xf>
    <xf numFmtId="9" fontId="12" fillId="0" borderId="14" xfId="105" applyFont="1" applyBorder="1" applyAlignment="1">
      <alignment horizontal="center"/>
    </xf>
    <xf numFmtId="0" fontId="12" fillId="0" borderId="14" xfId="0" applyFont="1" applyBorder="1" applyAlignment="1">
      <alignment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 wrapText="1"/>
    </xf>
    <xf numFmtId="168" fontId="12" fillId="0" borderId="14" xfId="105" applyNumberFormat="1" applyFont="1" applyBorder="1" applyAlignment="1">
      <alignment horizontal="center"/>
    </xf>
    <xf numFmtId="2" fontId="7" fillId="0" borderId="0" xfId="0" applyNumberFormat="1" applyFont="1" applyFill="1" applyAlignment="1">
      <alignment/>
    </xf>
    <xf numFmtId="0" fontId="23" fillId="0" borderId="0" xfId="88" applyFont="1" applyAlignment="1">
      <alignment vertical="center" wrapText="1"/>
      <protection/>
    </xf>
    <xf numFmtId="0" fontId="24" fillId="0" borderId="0" xfId="88" applyFont="1" applyAlignment="1">
      <alignment vertical="center" wrapText="1"/>
      <protection/>
    </xf>
    <xf numFmtId="0" fontId="23" fillId="0" borderId="0" xfId="88" applyFont="1">
      <alignment/>
      <protection/>
    </xf>
    <xf numFmtId="0" fontId="27" fillId="0" borderId="28" xfId="88" applyFont="1" applyBorder="1" applyAlignment="1">
      <alignment horizontal="center" vertical="center" wrapText="1"/>
      <protection/>
    </xf>
    <xf numFmtId="0" fontId="27" fillId="0" borderId="28" xfId="88" applyFont="1" applyBorder="1" applyAlignment="1">
      <alignment horizontal="center" vertical="center" textRotation="90" wrapText="1"/>
      <protection/>
    </xf>
    <xf numFmtId="0" fontId="26" fillId="0" borderId="28" xfId="88" applyFont="1" applyBorder="1" applyAlignment="1">
      <alignment horizontal="center" vertical="center" wrapText="1"/>
      <protection/>
    </xf>
    <xf numFmtId="0" fontId="27" fillId="0" borderId="29" xfId="88" applyFont="1" applyBorder="1" applyAlignment="1">
      <alignment horizontal="center" vertical="center" wrapText="1"/>
      <protection/>
    </xf>
    <xf numFmtId="0" fontId="28" fillId="0" borderId="0" xfId="88" applyFont="1">
      <alignment/>
      <protection/>
    </xf>
    <xf numFmtId="0" fontId="1" fillId="0" borderId="0" xfId="88">
      <alignment/>
      <protection/>
    </xf>
    <xf numFmtId="0" fontId="26" fillId="0" borderId="30" xfId="88" applyFont="1" applyBorder="1" applyAlignment="1">
      <alignment horizontal="center" vertical="center" wrapText="1"/>
      <protection/>
    </xf>
    <xf numFmtId="0" fontId="27" fillId="0" borderId="30" xfId="88" applyFont="1" applyBorder="1" applyAlignment="1">
      <alignment horizontal="center" vertical="center" wrapText="1"/>
      <protection/>
    </xf>
    <xf numFmtId="0" fontId="27" fillId="0" borderId="30" xfId="88" applyFont="1" applyFill="1" applyBorder="1" applyAlignment="1">
      <alignment horizontal="center" vertical="center" wrapText="1"/>
      <protection/>
    </xf>
    <xf numFmtId="0" fontId="29" fillId="0" borderId="30" xfId="88" applyFont="1" applyBorder="1" applyAlignment="1">
      <alignment horizontal="center" vertical="center" wrapText="1"/>
      <protection/>
    </xf>
    <xf numFmtId="170" fontId="27" fillId="0" borderId="30" xfId="88" applyNumberFormat="1" applyFont="1" applyBorder="1" applyAlignment="1">
      <alignment horizontal="center" vertical="center" wrapText="1"/>
      <protection/>
    </xf>
    <xf numFmtId="0" fontId="30" fillId="0" borderId="31" xfId="88" applyFont="1" applyBorder="1" applyAlignment="1">
      <alignment horizontal="center" vertical="center" wrapText="1"/>
      <protection/>
    </xf>
    <xf numFmtId="0" fontId="1" fillId="0" borderId="30" xfId="88" applyBorder="1" applyAlignment="1">
      <alignment horizontal="center" vertical="center"/>
      <protection/>
    </xf>
    <xf numFmtId="0" fontId="1" fillId="0" borderId="0" xfId="88" applyBorder="1" applyAlignment="1">
      <alignment horizontal="center" vertical="center"/>
      <protection/>
    </xf>
    <xf numFmtId="0" fontId="27" fillId="0" borderId="30" xfId="88" applyFont="1" applyBorder="1" applyAlignment="1">
      <alignment horizontal="left" vertical="center" wrapText="1"/>
      <protection/>
    </xf>
    <xf numFmtId="3" fontId="27" fillId="0" borderId="30" xfId="88" applyNumberFormat="1" applyFont="1" applyBorder="1" applyAlignment="1">
      <alignment horizontal="center" vertical="center" wrapText="1"/>
      <protection/>
    </xf>
    <xf numFmtId="1" fontId="27" fillId="0" borderId="30" xfId="88" applyNumberFormat="1" applyFont="1" applyBorder="1" applyAlignment="1">
      <alignment horizontal="center" vertical="center" wrapText="1"/>
      <protection/>
    </xf>
    <xf numFmtId="3" fontId="27" fillId="44" borderId="30" xfId="88" applyNumberFormat="1" applyFont="1" applyFill="1" applyBorder="1" applyAlignment="1">
      <alignment horizontal="center" vertical="center" wrapText="1"/>
      <protection/>
    </xf>
    <xf numFmtId="3" fontId="31" fillId="0" borderId="30" xfId="88" applyNumberFormat="1" applyFont="1" applyBorder="1" applyAlignment="1">
      <alignment horizontal="center" vertical="center" wrapText="1"/>
      <protection/>
    </xf>
    <xf numFmtId="3" fontId="26" fillId="0" borderId="30" xfId="88" applyNumberFormat="1" applyFont="1" applyBorder="1" applyAlignment="1">
      <alignment horizontal="center" vertical="center" wrapText="1"/>
      <protection/>
    </xf>
    <xf numFmtId="3" fontId="27" fillId="0" borderId="31" xfId="88" applyNumberFormat="1" applyFont="1" applyBorder="1" applyAlignment="1">
      <alignment horizontal="center" vertical="center" wrapText="1"/>
      <protection/>
    </xf>
    <xf numFmtId="0" fontId="28" fillId="0" borderId="0" xfId="88" applyFont="1" applyAlignment="1">
      <alignment horizontal="left"/>
      <protection/>
    </xf>
    <xf numFmtId="0" fontId="1" fillId="0" borderId="0" xfId="88" applyAlignment="1">
      <alignment horizontal="center" vertical="center"/>
      <protection/>
    </xf>
    <xf numFmtId="0" fontId="1" fillId="0" borderId="30" xfId="88" applyBorder="1" applyAlignment="1">
      <alignment horizontal="center"/>
      <protection/>
    </xf>
    <xf numFmtId="0" fontId="1" fillId="0" borderId="0" xfId="88" applyBorder="1" applyAlignment="1">
      <alignment horizontal="center"/>
      <protection/>
    </xf>
    <xf numFmtId="3" fontId="27" fillId="0" borderId="30" xfId="88" applyNumberFormat="1" applyFont="1" applyFill="1" applyBorder="1" applyAlignment="1">
      <alignment horizontal="center" vertical="center" wrapText="1"/>
      <protection/>
    </xf>
    <xf numFmtId="3" fontId="29" fillId="0" borderId="30" xfId="88" applyNumberFormat="1" applyFont="1" applyBorder="1" applyAlignment="1">
      <alignment horizontal="center" vertical="center" wrapText="1"/>
      <protection/>
    </xf>
    <xf numFmtId="169" fontId="0" fillId="0" borderId="32" xfId="88" applyNumberFormat="1" applyFont="1" applyBorder="1" applyAlignment="1">
      <alignment horizontal="center" vertical="center" wrapText="1"/>
      <protection/>
    </xf>
    <xf numFmtId="0" fontId="1" fillId="0" borderId="30" xfId="88" applyBorder="1">
      <alignment/>
      <protection/>
    </xf>
    <xf numFmtId="0" fontId="1" fillId="0" borderId="0" xfId="88" applyBorder="1">
      <alignment/>
      <protection/>
    </xf>
    <xf numFmtId="2" fontId="27" fillId="0" borderId="30" xfId="88" applyNumberFormat="1" applyFont="1" applyBorder="1" applyAlignment="1">
      <alignment horizontal="center" vertical="center" wrapText="1"/>
      <protection/>
    </xf>
    <xf numFmtId="0" fontId="27" fillId="0" borderId="33" xfId="88" applyFont="1" applyBorder="1" applyAlignment="1">
      <alignment horizontal="left" vertical="center" wrapText="1"/>
      <protection/>
    </xf>
    <xf numFmtId="0" fontId="27" fillId="0" borderId="33" xfId="88" applyFont="1" applyBorder="1" applyAlignment="1">
      <alignment horizontal="center" vertical="center" wrapText="1"/>
      <protection/>
    </xf>
    <xf numFmtId="0" fontId="27" fillId="0" borderId="33" xfId="88" applyFont="1" applyFill="1" applyBorder="1" applyAlignment="1">
      <alignment horizontal="center" vertical="center" wrapText="1"/>
      <protection/>
    </xf>
    <xf numFmtId="3" fontId="27" fillId="0" borderId="33" xfId="88" applyNumberFormat="1" applyFont="1" applyBorder="1" applyAlignment="1">
      <alignment horizontal="center" vertical="center" wrapText="1"/>
      <protection/>
    </xf>
    <xf numFmtId="1" fontId="27" fillId="0" borderId="33" xfId="88" applyNumberFormat="1" applyFont="1" applyBorder="1" applyAlignment="1">
      <alignment horizontal="center" vertical="center" wrapText="1"/>
      <protection/>
    </xf>
    <xf numFmtId="3" fontId="31" fillId="0" borderId="33" xfId="88" applyNumberFormat="1" applyFont="1" applyBorder="1" applyAlignment="1">
      <alignment horizontal="center" vertical="center" wrapText="1"/>
      <protection/>
    </xf>
    <xf numFmtId="3" fontId="26" fillId="0" borderId="33" xfId="88" applyNumberFormat="1" applyFont="1" applyBorder="1" applyAlignment="1">
      <alignment horizontal="center" vertical="center" wrapText="1"/>
      <protection/>
    </xf>
    <xf numFmtId="3" fontId="27" fillId="0" borderId="34" xfId="88" applyNumberFormat="1" applyFont="1" applyBorder="1" applyAlignment="1">
      <alignment horizontal="center" vertical="center" wrapText="1"/>
      <protection/>
    </xf>
    <xf numFmtId="170" fontId="32" fillId="0" borderId="30" xfId="88" applyNumberFormat="1" applyFont="1" applyBorder="1">
      <alignment/>
      <protection/>
    </xf>
    <xf numFmtId="170" fontId="32" fillId="0" borderId="0" xfId="88" applyNumberFormat="1" applyFont="1" applyBorder="1">
      <alignment/>
      <protection/>
    </xf>
    <xf numFmtId="0" fontId="26" fillId="0" borderId="35" xfId="88" applyFont="1" applyBorder="1" applyAlignment="1">
      <alignment horizontal="center" vertical="center" textRotation="90" wrapText="1"/>
      <protection/>
    </xf>
    <xf numFmtId="170" fontId="33" fillId="0" borderId="0" xfId="88" applyNumberFormat="1" applyFont="1" applyAlignment="1">
      <alignment horizontal="left"/>
      <protection/>
    </xf>
    <xf numFmtId="175" fontId="32" fillId="0" borderId="0" xfId="88" applyNumberFormat="1" applyFont="1">
      <alignment/>
      <protection/>
    </xf>
    <xf numFmtId="170" fontId="32" fillId="0" borderId="0" xfId="88" applyNumberFormat="1" applyFont="1">
      <alignment/>
      <protection/>
    </xf>
    <xf numFmtId="0" fontId="26" fillId="0" borderId="36" xfId="88" applyFont="1" applyBorder="1" applyAlignment="1">
      <alignment horizontal="center" vertical="center" textRotation="90" wrapText="1"/>
      <protection/>
    </xf>
    <xf numFmtId="170" fontId="24" fillId="0" borderId="0" xfId="88" applyNumberFormat="1" applyFont="1" applyFill="1" applyBorder="1" applyAlignment="1">
      <alignment horizontal="center" vertical="center" wrapText="1"/>
      <protection/>
    </xf>
    <xf numFmtId="1" fontId="24" fillId="0" borderId="0" xfId="88" applyNumberFormat="1" applyFont="1" applyFill="1" applyBorder="1" applyAlignment="1">
      <alignment horizontal="center" vertical="center" wrapText="1"/>
      <protection/>
    </xf>
    <xf numFmtId="3" fontId="24" fillId="0" borderId="0" xfId="88" applyNumberFormat="1" applyFont="1" applyFill="1" applyBorder="1" applyAlignment="1">
      <alignment horizontal="center" vertical="center" wrapText="1"/>
      <protection/>
    </xf>
    <xf numFmtId="9" fontId="0" fillId="0" borderId="0" xfId="107" applyFill="1" applyBorder="1" applyAlignment="1">
      <alignment horizontal="center" vertical="center" wrapText="1"/>
    </xf>
    <xf numFmtId="171" fontId="24" fillId="0" borderId="0" xfId="88" applyNumberFormat="1" applyFont="1" applyFill="1" applyBorder="1" applyAlignment="1">
      <alignment horizontal="center" vertical="center" wrapText="1"/>
      <protection/>
    </xf>
    <xf numFmtId="170" fontId="33" fillId="0" borderId="0" xfId="88" applyNumberFormat="1" applyFont="1" applyBorder="1" applyAlignment="1">
      <alignment horizontal="left"/>
      <protection/>
    </xf>
    <xf numFmtId="170" fontId="24" fillId="44" borderId="37" xfId="88" applyNumberFormat="1" applyFont="1" applyFill="1" applyBorder="1" applyAlignment="1">
      <alignment horizontal="center" vertical="center" wrapText="1"/>
      <protection/>
    </xf>
    <xf numFmtId="1" fontId="24" fillId="44" borderId="37" xfId="88" applyNumberFormat="1" applyFont="1" applyFill="1" applyBorder="1" applyAlignment="1">
      <alignment horizontal="center" vertical="center" wrapText="1"/>
      <protection/>
    </xf>
    <xf numFmtId="2" fontId="24" fillId="44" borderId="37" xfId="88" applyNumberFormat="1" applyFont="1" applyFill="1" applyBorder="1" applyAlignment="1">
      <alignment horizontal="center" vertical="center" wrapText="1"/>
      <protection/>
    </xf>
    <xf numFmtId="3" fontId="24" fillId="44" borderId="37" xfId="88" applyNumberFormat="1" applyFont="1" applyFill="1" applyBorder="1" applyAlignment="1">
      <alignment horizontal="center" vertical="center" wrapText="1"/>
      <protection/>
    </xf>
    <xf numFmtId="170" fontId="24" fillId="44" borderId="30" xfId="88" applyNumberFormat="1" applyFont="1" applyFill="1" applyBorder="1" applyAlignment="1">
      <alignment horizontal="center" vertical="center" wrapText="1"/>
      <protection/>
    </xf>
    <xf numFmtId="1" fontId="24" fillId="44" borderId="30" xfId="88" applyNumberFormat="1" applyFont="1" applyFill="1" applyBorder="1" applyAlignment="1">
      <alignment horizontal="center" vertical="center" wrapText="1"/>
      <protection/>
    </xf>
    <xf numFmtId="2" fontId="24" fillId="44" borderId="30" xfId="88" applyNumberFormat="1" applyFont="1" applyFill="1" applyBorder="1" applyAlignment="1">
      <alignment horizontal="center" vertical="center" wrapText="1"/>
      <protection/>
    </xf>
    <xf numFmtId="3" fontId="24" fillId="44" borderId="30" xfId="88" applyNumberFormat="1" applyFont="1" applyFill="1" applyBorder="1" applyAlignment="1">
      <alignment horizontal="center" vertical="center" wrapText="1"/>
      <protection/>
    </xf>
    <xf numFmtId="0" fontId="26" fillId="0" borderId="38" xfId="88" applyFont="1" applyBorder="1" applyAlignment="1">
      <alignment horizontal="center" vertical="center" textRotation="90" wrapText="1"/>
      <protection/>
    </xf>
    <xf numFmtId="170" fontId="24" fillId="44" borderId="33" xfId="88" applyNumberFormat="1" applyFont="1" applyFill="1" applyBorder="1" applyAlignment="1">
      <alignment horizontal="center" vertical="center" wrapText="1"/>
      <protection/>
    </xf>
    <xf numFmtId="1" fontId="24" fillId="44" borderId="33" xfId="88" applyNumberFormat="1" applyFont="1" applyFill="1" applyBorder="1" applyAlignment="1">
      <alignment horizontal="center" vertical="center" wrapText="1"/>
      <protection/>
    </xf>
    <xf numFmtId="2" fontId="24" fillId="44" borderId="33" xfId="88" applyNumberFormat="1" applyFont="1" applyFill="1" applyBorder="1" applyAlignment="1">
      <alignment horizontal="center" vertical="center" wrapText="1"/>
      <protection/>
    </xf>
    <xf numFmtId="3" fontId="24" fillId="44" borderId="33" xfId="88" applyNumberFormat="1" applyFont="1" applyFill="1" applyBorder="1" applyAlignment="1">
      <alignment horizontal="center" vertical="center" wrapText="1"/>
      <protection/>
    </xf>
    <xf numFmtId="0" fontId="34" fillId="0" borderId="30" xfId="88" applyFont="1" applyBorder="1">
      <alignment/>
      <protection/>
    </xf>
    <xf numFmtId="0" fontId="34" fillId="0" borderId="0" xfId="88" applyFont="1" applyBorder="1">
      <alignment/>
      <protection/>
    </xf>
    <xf numFmtId="0" fontId="34" fillId="0" borderId="0" xfId="88" applyFont="1">
      <alignment/>
      <protection/>
    </xf>
    <xf numFmtId="0" fontId="27" fillId="44" borderId="30" xfId="88" applyFont="1" applyFill="1" applyBorder="1" applyAlignment="1">
      <alignment horizontal="center" vertical="center" wrapText="1"/>
      <protection/>
    </xf>
    <xf numFmtId="0" fontId="32" fillId="0" borderId="30" xfId="88" applyFont="1" applyBorder="1">
      <alignment/>
      <protection/>
    </xf>
    <xf numFmtId="0" fontId="32" fillId="0" borderId="0" xfId="88" applyFont="1" applyBorder="1">
      <alignment/>
      <protection/>
    </xf>
    <xf numFmtId="3" fontId="26" fillId="44" borderId="31" xfId="88" applyNumberFormat="1" applyFont="1" applyFill="1" applyBorder="1" applyAlignment="1">
      <alignment horizontal="center" vertical="center" wrapText="1"/>
      <protection/>
    </xf>
    <xf numFmtId="0" fontId="33" fillId="0" borderId="0" xfId="88" applyFont="1" applyAlignment="1">
      <alignment horizontal="left"/>
      <protection/>
    </xf>
    <xf numFmtId="0" fontId="32" fillId="0" borderId="0" xfId="88" applyFont="1">
      <alignment/>
      <protection/>
    </xf>
    <xf numFmtId="0" fontId="1" fillId="0" borderId="0" xfId="88" applyFont="1">
      <alignment/>
      <protection/>
    </xf>
    <xf numFmtId="3" fontId="36" fillId="0" borderId="0" xfId="88" applyNumberFormat="1" applyFont="1">
      <alignment/>
      <protection/>
    </xf>
    <xf numFmtId="9" fontId="0" fillId="0" borderId="0" xfId="107" applyAlignment="1">
      <alignment/>
    </xf>
    <xf numFmtId="0" fontId="27" fillId="0" borderId="0" xfId="88" applyFont="1">
      <alignment/>
      <protection/>
    </xf>
    <xf numFmtId="0" fontId="27" fillId="0" borderId="30" xfId="88" applyFont="1" applyBorder="1">
      <alignment/>
      <protection/>
    </xf>
    <xf numFmtId="3" fontId="27" fillId="0" borderId="30" xfId="88" applyNumberFormat="1" applyFont="1" applyBorder="1">
      <alignment/>
      <protection/>
    </xf>
    <xf numFmtId="0" fontId="27" fillId="0" borderId="0" xfId="88" applyFont="1" applyBorder="1" applyAlignment="1">
      <alignment horizontal="center"/>
      <protection/>
    </xf>
    <xf numFmtId="3" fontId="27" fillId="0" borderId="0" xfId="88" applyNumberFormat="1" applyFont="1" applyBorder="1">
      <alignment/>
      <protection/>
    </xf>
    <xf numFmtId="0" fontId="27" fillId="0" borderId="0" xfId="88" applyFont="1" applyBorder="1">
      <alignment/>
      <protection/>
    </xf>
    <xf numFmtId="0" fontId="1" fillId="0" borderId="0" xfId="88" applyFont="1" applyFill="1" applyBorder="1">
      <alignment/>
      <protection/>
    </xf>
    <xf numFmtId="0" fontId="1" fillId="0" borderId="0" xfId="88" applyFill="1" applyBorder="1">
      <alignment/>
      <protection/>
    </xf>
    <xf numFmtId="3" fontId="27" fillId="0" borderId="0" xfId="88" applyNumberFormat="1" applyFont="1" applyFill="1" applyBorder="1">
      <alignment/>
      <protection/>
    </xf>
    <xf numFmtId="0" fontId="34" fillId="0" borderId="0" xfId="88" applyFont="1" applyFill="1" applyBorder="1">
      <alignment/>
      <protection/>
    </xf>
    <xf numFmtId="3" fontId="26" fillId="0" borderId="0" xfId="88" applyNumberFormat="1" applyFont="1" applyFill="1" applyBorder="1">
      <alignment/>
      <protection/>
    </xf>
    <xf numFmtId="3" fontId="1" fillId="0" borderId="0" xfId="88" applyNumberFormat="1">
      <alignment/>
      <protection/>
    </xf>
    <xf numFmtId="0" fontId="27" fillId="0" borderId="28" xfId="88" applyFont="1" applyFill="1" applyBorder="1" applyAlignment="1">
      <alignment horizontal="center" vertical="center" wrapText="1"/>
      <protection/>
    </xf>
    <xf numFmtId="1" fontId="26" fillId="0" borderId="30" xfId="88" applyNumberFormat="1" applyFont="1" applyBorder="1" applyAlignment="1">
      <alignment horizontal="center" vertical="center" wrapText="1"/>
      <protection/>
    </xf>
    <xf numFmtId="0" fontId="34" fillId="0" borderId="0" xfId="88" applyFont="1" applyBorder="1" applyAlignment="1">
      <alignment horizontal="center"/>
      <protection/>
    </xf>
    <xf numFmtId="0" fontId="36" fillId="0" borderId="0" xfId="88" applyFont="1">
      <alignment/>
      <protection/>
    </xf>
    <xf numFmtId="0" fontId="24" fillId="0" borderId="30" xfId="88" applyFont="1" applyBorder="1" applyAlignment="1">
      <alignment horizontal="right"/>
      <protection/>
    </xf>
    <xf numFmtId="0" fontId="24" fillId="0" borderId="30" xfId="88" applyFont="1" applyBorder="1" applyAlignment="1">
      <alignment horizontal="left"/>
      <protection/>
    </xf>
    <xf numFmtId="0" fontId="24" fillId="0" borderId="30" xfId="88" applyFont="1" applyBorder="1" applyAlignment="1">
      <alignment horizontal="center"/>
      <protection/>
    </xf>
    <xf numFmtId="3" fontId="26" fillId="0" borderId="30" xfId="88" applyNumberFormat="1" applyFont="1" applyBorder="1" applyAlignment="1">
      <alignment horizontal="center"/>
      <protection/>
    </xf>
    <xf numFmtId="3" fontId="24" fillId="0" borderId="30" xfId="88" applyNumberFormat="1" applyFont="1" applyBorder="1" applyAlignment="1">
      <alignment horizontal="center"/>
      <protection/>
    </xf>
    <xf numFmtId="3" fontId="27" fillId="0" borderId="31" xfId="88" applyNumberFormat="1" applyFont="1" applyBorder="1" applyAlignment="1">
      <alignment horizontal="left" vertical="center" wrapText="1"/>
      <protection/>
    </xf>
    <xf numFmtId="3" fontId="26" fillId="0" borderId="30" xfId="88" applyNumberFormat="1" applyFont="1" applyBorder="1">
      <alignment/>
      <protection/>
    </xf>
    <xf numFmtId="3" fontId="27" fillId="0" borderId="31" xfId="88" applyNumberFormat="1" applyFont="1" applyBorder="1">
      <alignment/>
      <protection/>
    </xf>
    <xf numFmtId="171" fontId="29" fillId="0" borderId="30" xfId="88" applyNumberFormat="1" applyFont="1" applyBorder="1" applyAlignment="1">
      <alignment horizontal="center" vertical="center" wrapText="1"/>
      <protection/>
    </xf>
    <xf numFmtId="3" fontId="26" fillId="0" borderId="31" xfId="88" applyNumberFormat="1" applyFont="1" applyBorder="1" applyAlignment="1">
      <alignment horizontal="center" vertical="center" wrapText="1"/>
      <protection/>
    </xf>
    <xf numFmtId="2" fontId="27" fillId="0" borderId="33" xfId="88" applyNumberFormat="1" applyFont="1" applyBorder="1" applyAlignment="1">
      <alignment horizontal="center" vertical="center" wrapText="1"/>
      <protection/>
    </xf>
    <xf numFmtId="3" fontId="29" fillId="0" borderId="33" xfId="88" applyNumberFormat="1" applyFont="1" applyBorder="1" applyAlignment="1">
      <alignment horizontal="center" vertical="center" wrapText="1"/>
      <protection/>
    </xf>
    <xf numFmtId="3" fontId="27" fillId="0" borderId="34" xfId="88" applyNumberFormat="1" applyFont="1" applyBorder="1" applyAlignment="1">
      <alignment horizontal="left" vertical="center" wrapText="1"/>
      <protection/>
    </xf>
    <xf numFmtId="0" fontId="26" fillId="44" borderId="14" xfId="88" applyFont="1" applyFill="1" applyBorder="1" applyAlignment="1">
      <alignment horizontal="center" vertical="center" wrapText="1"/>
      <protection/>
    </xf>
    <xf numFmtId="0" fontId="24" fillId="44" borderId="14" xfId="88" applyFont="1" applyFill="1" applyBorder="1" applyAlignment="1">
      <alignment horizontal="center" vertical="center" wrapText="1"/>
      <protection/>
    </xf>
    <xf numFmtId="4" fontId="26" fillId="44" borderId="14" xfId="88" applyNumberFormat="1" applyFont="1" applyFill="1" applyBorder="1" applyAlignment="1">
      <alignment horizontal="center" vertical="center" wrapText="1"/>
      <protection/>
    </xf>
    <xf numFmtId="3" fontId="26" fillId="44" borderId="14" xfId="88" applyNumberFormat="1" applyFont="1" applyFill="1" applyBorder="1" applyAlignment="1">
      <alignment horizontal="center" vertical="center" wrapText="1"/>
      <protection/>
    </xf>
    <xf numFmtId="0" fontId="26" fillId="0" borderId="39" xfId="88" applyFont="1" applyFill="1" applyBorder="1" applyAlignment="1">
      <alignment horizontal="center" vertical="center" textRotation="90" wrapText="1"/>
      <protection/>
    </xf>
    <xf numFmtId="0" fontId="24" fillId="0" borderId="40" xfId="88" applyFont="1" applyFill="1" applyBorder="1" applyAlignment="1">
      <alignment horizontal="center" vertical="center" wrapText="1"/>
      <protection/>
    </xf>
    <xf numFmtId="0" fontId="24" fillId="0" borderId="0" xfId="88" applyFont="1" applyFill="1" applyBorder="1" applyAlignment="1">
      <alignment horizontal="center" vertical="center" wrapText="1"/>
      <protection/>
    </xf>
    <xf numFmtId="169" fontId="24" fillId="0" borderId="0" xfId="88" applyNumberFormat="1" applyFont="1" applyFill="1" applyBorder="1" applyAlignment="1">
      <alignment horizontal="center" vertical="center" wrapText="1"/>
      <protection/>
    </xf>
    <xf numFmtId="0" fontId="26" fillId="0" borderId="41" xfId="88" applyFont="1" applyFill="1" applyBorder="1" applyAlignment="1">
      <alignment horizontal="center" vertical="center" textRotation="90" wrapText="1"/>
      <protection/>
    </xf>
    <xf numFmtId="0" fontId="24" fillId="0" borderId="42" xfId="88" applyFont="1" applyFill="1" applyBorder="1" applyAlignment="1">
      <alignment horizontal="center" vertical="center" wrapText="1"/>
      <protection/>
    </xf>
    <xf numFmtId="0" fontId="24" fillId="0" borderId="43" xfId="88" applyFont="1" applyFill="1" applyBorder="1" applyAlignment="1">
      <alignment horizontal="center" vertical="center" wrapText="1"/>
      <protection/>
    </xf>
    <xf numFmtId="169" fontId="24" fillId="0" borderId="43" xfId="88" applyNumberFormat="1" applyFont="1" applyFill="1" applyBorder="1" applyAlignment="1">
      <alignment horizontal="center" vertical="center" wrapText="1"/>
      <protection/>
    </xf>
    <xf numFmtId="169" fontId="26" fillId="0" borderId="44" xfId="88" applyNumberFormat="1" applyFont="1" applyBorder="1" applyAlignment="1">
      <alignment horizontal="center" vertical="center" wrapText="1"/>
      <protection/>
    </xf>
    <xf numFmtId="4" fontId="24" fillId="0" borderId="43" xfId="88" applyNumberFormat="1" applyFont="1" applyFill="1" applyBorder="1" applyAlignment="1">
      <alignment horizontal="center" vertical="center" wrapText="1"/>
      <protection/>
    </xf>
    <xf numFmtId="0" fontId="26" fillId="0" borderId="45" xfId="88" applyFont="1" applyFill="1" applyBorder="1" applyAlignment="1">
      <alignment horizontal="center" vertical="center" textRotation="90" wrapText="1"/>
      <protection/>
    </xf>
    <xf numFmtId="2" fontId="27" fillId="0" borderId="31" xfId="88" applyNumberFormat="1" applyFont="1" applyBorder="1" applyAlignment="1">
      <alignment horizontal="center" vertical="center" wrapText="1"/>
      <protection/>
    </xf>
    <xf numFmtId="3" fontId="24" fillId="0" borderId="30" xfId="88" applyNumberFormat="1" applyFont="1" applyBorder="1" applyAlignment="1">
      <alignment horizontal="left"/>
      <protection/>
    </xf>
    <xf numFmtId="3" fontId="31" fillId="0" borderId="30" xfId="88" applyNumberFormat="1" applyFont="1" applyFill="1" applyBorder="1" applyAlignment="1">
      <alignment horizontal="center" vertical="center" wrapText="1"/>
      <protection/>
    </xf>
    <xf numFmtId="9" fontId="0" fillId="0" borderId="30" xfId="107" applyBorder="1" applyAlignment="1">
      <alignment horizontal="center" vertical="center" wrapText="1"/>
    </xf>
    <xf numFmtId="0" fontId="27" fillId="0" borderId="30" xfId="88" applyFont="1" applyFill="1" applyBorder="1" applyAlignment="1">
      <alignment horizontal="left" vertical="center" wrapText="1"/>
      <protection/>
    </xf>
    <xf numFmtId="3" fontId="31" fillId="0" borderId="30" xfId="88" applyNumberFormat="1" applyFont="1" applyBorder="1" applyAlignment="1">
      <alignment horizontal="center"/>
      <protection/>
    </xf>
    <xf numFmtId="0" fontId="27" fillId="0" borderId="33" xfId="88" applyFont="1" applyFill="1" applyBorder="1" applyAlignment="1">
      <alignment horizontal="left" vertical="center" wrapText="1"/>
      <protection/>
    </xf>
    <xf numFmtId="2" fontId="27" fillId="0" borderId="33" xfId="88" applyNumberFormat="1" applyFont="1" applyBorder="1" applyAlignment="1">
      <alignment horizontal="center"/>
      <protection/>
    </xf>
    <xf numFmtId="3" fontId="31" fillId="0" borderId="33" xfId="88" applyNumberFormat="1" applyFont="1" applyFill="1" applyBorder="1" applyAlignment="1">
      <alignment horizontal="center" vertical="center" wrapText="1"/>
      <protection/>
    </xf>
    <xf numFmtId="3" fontId="31" fillId="0" borderId="33" xfId="88" applyNumberFormat="1" applyFont="1" applyBorder="1" applyAlignment="1">
      <alignment horizontal="center"/>
      <protection/>
    </xf>
    <xf numFmtId="0" fontId="26" fillId="0" borderId="46" xfId="88" applyFont="1" applyBorder="1" applyAlignment="1">
      <alignment vertical="center" textRotation="90" wrapText="1"/>
      <protection/>
    </xf>
    <xf numFmtId="0" fontId="26" fillId="44" borderId="47" xfId="88" applyFont="1" applyFill="1" applyBorder="1" applyAlignment="1">
      <alignment horizontal="center" vertical="center" wrapText="1"/>
      <protection/>
    </xf>
    <xf numFmtId="0" fontId="26" fillId="44" borderId="48" xfId="88" applyFont="1" applyFill="1" applyBorder="1" applyAlignment="1">
      <alignment horizontal="center" vertical="center" wrapText="1"/>
      <protection/>
    </xf>
    <xf numFmtId="3" fontId="26" fillId="44" borderId="48" xfId="88" applyNumberFormat="1" applyFont="1" applyFill="1" applyBorder="1" applyAlignment="1">
      <alignment horizontal="center" vertical="center" wrapText="1"/>
      <protection/>
    </xf>
    <xf numFmtId="3" fontId="24" fillId="44" borderId="49" xfId="88" applyNumberFormat="1" applyFont="1" applyFill="1" applyBorder="1" applyAlignment="1">
      <alignment horizontal="center" vertical="center" wrapText="1"/>
      <protection/>
    </xf>
    <xf numFmtId="0" fontId="26" fillId="0" borderId="0" xfId="88" applyFont="1" applyBorder="1" applyAlignment="1">
      <alignment vertical="center" textRotation="90" wrapText="1"/>
      <protection/>
    </xf>
    <xf numFmtId="0" fontId="27" fillId="0" borderId="50" xfId="88" applyFont="1" applyBorder="1" applyAlignment="1">
      <alignment horizontal="center" vertical="center" wrapText="1"/>
      <protection/>
    </xf>
    <xf numFmtId="0" fontId="26" fillId="0" borderId="51" xfId="88" applyFont="1" applyFill="1" applyBorder="1" applyAlignment="1">
      <alignment horizontal="left" vertical="center" wrapText="1"/>
      <protection/>
    </xf>
    <xf numFmtId="2" fontId="27" fillId="0" borderId="30" xfId="88" applyNumberFormat="1" applyFont="1" applyBorder="1" applyAlignment="1">
      <alignment horizontal="center"/>
      <protection/>
    </xf>
    <xf numFmtId="169" fontId="27" fillId="0" borderId="30" xfId="88" applyNumberFormat="1" applyFont="1" applyBorder="1" applyAlignment="1">
      <alignment horizontal="center" vertical="center" wrapText="1"/>
      <protection/>
    </xf>
    <xf numFmtId="169" fontId="31" fillId="0" borderId="30" xfId="88" applyNumberFormat="1" applyFont="1" applyFill="1" applyBorder="1" applyAlignment="1">
      <alignment horizontal="center" vertical="center" wrapText="1"/>
      <protection/>
    </xf>
    <xf numFmtId="169" fontId="31" fillId="0" borderId="30" xfId="88" applyNumberFormat="1" applyFont="1" applyBorder="1" applyAlignment="1">
      <alignment horizontal="center" vertical="center" wrapText="1"/>
      <protection/>
    </xf>
    <xf numFmtId="169" fontId="31" fillId="0" borderId="30" xfId="88" applyNumberFormat="1" applyFont="1" applyBorder="1" applyAlignment="1">
      <alignment horizontal="center"/>
      <protection/>
    </xf>
    <xf numFmtId="169" fontId="26" fillId="0" borderId="30" xfId="88" applyNumberFormat="1" applyFont="1" applyBorder="1" applyAlignment="1">
      <alignment horizontal="center" vertical="center" wrapText="1"/>
      <protection/>
    </xf>
    <xf numFmtId="169" fontId="27" fillId="0" borderId="31" xfId="88" applyNumberFormat="1" applyFont="1" applyBorder="1" applyAlignment="1">
      <alignment horizontal="center" vertical="center" wrapText="1"/>
      <protection/>
    </xf>
    <xf numFmtId="0" fontId="27" fillId="0" borderId="51" xfId="88" applyFont="1" applyBorder="1" applyAlignment="1">
      <alignment horizontal="left" vertical="center" wrapText="1"/>
      <protection/>
    </xf>
    <xf numFmtId="0" fontId="27" fillId="46" borderId="30" xfId="88" applyFont="1" applyFill="1" applyBorder="1" applyAlignment="1">
      <alignment horizontal="center" vertical="center" wrapText="1"/>
      <protection/>
    </xf>
    <xf numFmtId="0" fontId="36" fillId="0" borderId="0" xfId="88" applyFont="1" applyBorder="1">
      <alignment/>
      <protection/>
    </xf>
    <xf numFmtId="0" fontId="24" fillId="44" borderId="52" xfId="88" applyFont="1" applyFill="1" applyBorder="1" applyAlignment="1">
      <alignment horizontal="right"/>
      <protection/>
    </xf>
    <xf numFmtId="0" fontId="24" fillId="44" borderId="53" xfId="88" applyFont="1" applyFill="1" applyBorder="1" applyAlignment="1">
      <alignment horizontal="left"/>
      <protection/>
    </xf>
    <xf numFmtId="0" fontId="24" fillId="44" borderId="53" xfId="88" applyFont="1" applyFill="1" applyBorder="1" applyAlignment="1">
      <alignment horizontal="center"/>
      <protection/>
    </xf>
    <xf numFmtId="3" fontId="24" fillId="44" borderId="53" xfId="88" applyNumberFormat="1" applyFont="1" applyFill="1" applyBorder="1" applyAlignment="1">
      <alignment horizontal="center"/>
      <protection/>
    </xf>
    <xf numFmtId="0" fontId="26" fillId="0" borderId="0" xfId="88" applyFont="1" applyFill="1" applyBorder="1" applyAlignment="1">
      <alignment horizontal="center" vertical="center" textRotation="90" wrapText="1"/>
      <protection/>
    </xf>
    <xf numFmtId="4" fontId="24" fillId="0" borderId="0" xfId="88" applyNumberFormat="1" applyFont="1" applyFill="1" applyBorder="1" applyAlignment="1">
      <alignment horizontal="center" vertical="center" wrapText="1"/>
      <protection/>
    </xf>
    <xf numFmtId="2" fontId="27" fillId="0" borderId="30" xfId="88" applyNumberFormat="1" applyFont="1" applyFill="1" applyBorder="1" applyAlignment="1">
      <alignment horizontal="center" vertical="center" wrapText="1"/>
      <protection/>
    </xf>
    <xf numFmtId="170" fontId="31" fillId="0" borderId="30" xfId="88" applyNumberFormat="1" applyFont="1" applyBorder="1" applyAlignment="1">
      <alignment horizontal="center" vertical="center" wrapText="1"/>
      <protection/>
    </xf>
    <xf numFmtId="170" fontId="26" fillId="0" borderId="30" xfId="88" applyNumberFormat="1" applyFont="1" applyBorder="1" applyAlignment="1">
      <alignment horizontal="center" vertical="center" wrapText="1"/>
      <protection/>
    </xf>
    <xf numFmtId="170" fontId="27" fillId="0" borderId="31" xfId="88" applyNumberFormat="1" applyFont="1" applyBorder="1" applyAlignment="1">
      <alignment horizontal="center" vertical="center" wrapText="1"/>
      <protection/>
    </xf>
    <xf numFmtId="9" fontId="0" fillId="0" borderId="30" xfId="107" applyFill="1" applyBorder="1" applyAlignment="1">
      <alignment horizontal="center" vertical="center" wrapText="1"/>
    </xf>
    <xf numFmtId="3" fontId="26" fillId="0" borderId="30" xfId="88" applyNumberFormat="1" applyFont="1" applyFill="1" applyBorder="1" applyAlignment="1">
      <alignment horizontal="center" vertical="center" wrapText="1"/>
      <protection/>
    </xf>
    <xf numFmtId="3" fontId="27" fillId="0" borderId="31" xfId="88" applyNumberFormat="1" applyFont="1" applyFill="1" applyBorder="1" applyAlignment="1">
      <alignment horizontal="center" vertical="center" wrapText="1"/>
      <protection/>
    </xf>
    <xf numFmtId="0" fontId="27" fillId="47" borderId="30" xfId="88" applyFont="1" applyFill="1" applyBorder="1" applyAlignment="1">
      <alignment horizontal="left" vertical="center" wrapText="1"/>
      <protection/>
    </xf>
    <xf numFmtId="0" fontId="27" fillId="47" borderId="30" xfId="88" applyFont="1" applyFill="1" applyBorder="1" applyAlignment="1">
      <alignment horizontal="center" vertical="center" wrapText="1"/>
      <protection/>
    </xf>
    <xf numFmtId="3" fontId="27" fillId="47" borderId="30" xfId="88" applyNumberFormat="1" applyFont="1" applyFill="1" applyBorder="1" applyAlignment="1">
      <alignment horizontal="center" vertical="center" wrapText="1"/>
      <protection/>
    </xf>
    <xf numFmtId="169" fontId="27" fillId="47" borderId="30" xfId="88" applyNumberFormat="1" applyFont="1" applyFill="1" applyBorder="1" applyAlignment="1">
      <alignment horizontal="center" vertical="center" wrapText="1"/>
      <protection/>
    </xf>
    <xf numFmtId="3" fontId="29" fillId="47" borderId="30" xfId="88" applyNumberFormat="1" applyFont="1" applyFill="1" applyBorder="1" applyAlignment="1">
      <alignment horizontal="center" vertical="center" wrapText="1"/>
      <protection/>
    </xf>
    <xf numFmtId="3" fontId="31" fillId="47" borderId="30" xfId="88" applyNumberFormat="1" applyFont="1" applyFill="1" applyBorder="1" applyAlignment="1">
      <alignment horizontal="center" vertical="center" wrapText="1"/>
      <protection/>
    </xf>
    <xf numFmtId="3" fontId="26" fillId="47" borderId="30" xfId="88" applyNumberFormat="1" applyFont="1" applyFill="1" applyBorder="1" applyAlignment="1">
      <alignment horizontal="center" vertical="center" wrapText="1"/>
      <protection/>
    </xf>
    <xf numFmtId="169" fontId="24" fillId="0" borderId="30" xfId="88" applyNumberFormat="1" applyFont="1" applyBorder="1" applyAlignment="1">
      <alignment horizontal="center"/>
      <protection/>
    </xf>
    <xf numFmtId="169" fontId="24" fillId="0" borderId="30" xfId="88" applyNumberFormat="1" applyFont="1" applyBorder="1" applyAlignment="1">
      <alignment horizontal="left"/>
      <protection/>
    </xf>
    <xf numFmtId="3" fontId="24" fillId="0" borderId="31" xfId="88" applyNumberFormat="1" applyFont="1" applyBorder="1" applyAlignment="1">
      <alignment horizontal="center"/>
      <protection/>
    </xf>
    <xf numFmtId="169" fontId="27" fillId="0" borderId="33" xfId="88" applyNumberFormat="1" applyFont="1" applyBorder="1" applyAlignment="1">
      <alignment horizontal="center" vertical="center" wrapText="1"/>
      <protection/>
    </xf>
    <xf numFmtId="3" fontId="24" fillId="17" borderId="54" xfId="88" applyNumberFormat="1" applyFont="1" applyFill="1" applyBorder="1" applyAlignment="1">
      <alignment horizontal="center" vertical="center" wrapText="1"/>
      <protection/>
    </xf>
    <xf numFmtId="0" fontId="27" fillId="17" borderId="54" xfId="88" applyFont="1" applyFill="1" applyBorder="1" applyAlignment="1">
      <alignment horizontal="center" vertical="center" wrapText="1"/>
      <protection/>
    </xf>
    <xf numFmtId="0" fontId="26" fillId="17" borderId="54" xfId="88" applyFont="1" applyFill="1" applyBorder="1" applyAlignment="1">
      <alignment horizontal="center" vertical="center" wrapText="1"/>
      <protection/>
    </xf>
    <xf numFmtId="169" fontId="27" fillId="17" borderId="54" xfId="88" applyNumberFormat="1" applyFont="1" applyFill="1" applyBorder="1" applyAlignment="1">
      <alignment horizontal="center" vertical="center" wrapText="1"/>
      <protection/>
    </xf>
    <xf numFmtId="3" fontId="26" fillId="17" borderId="54" xfId="88" applyNumberFormat="1" applyFont="1" applyFill="1" applyBorder="1" applyAlignment="1">
      <alignment horizontal="center" vertical="center" wrapText="1"/>
      <protection/>
    </xf>
    <xf numFmtId="3" fontId="31" fillId="17" borderId="54" xfId="88" applyNumberFormat="1" applyFont="1" applyFill="1" applyBorder="1" applyAlignment="1">
      <alignment horizontal="center" vertical="center" wrapText="1"/>
      <protection/>
    </xf>
    <xf numFmtId="3" fontId="27" fillId="17" borderId="54" xfId="88" applyNumberFormat="1" applyFont="1" applyFill="1" applyBorder="1" applyAlignment="1">
      <alignment horizontal="center"/>
      <protection/>
    </xf>
    <xf numFmtId="3" fontId="27" fillId="17" borderId="54" xfId="88" applyNumberFormat="1" applyFont="1" applyFill="1" applyBorder="1" applyAlignment="1">
      <alignment horizontal="center" vertical="center" wrapText="1"/>
      <protection/>
    </xf>
    <xf numFmtId="0" fontId="26" fillId="0" borderId="55" xfId="88" applyFont="1" applyBorder="1" applyAlignment="1">
      <alignment horizontal="center" vertical="center" wrapText="1"/>
      <protection/>
    </xf>
    <xf numFmtId="0" fontId="27" fillId="0" borderId="55" xfId="88" applyFont="1" applyBorder="1" applyAlignment="1">
      <alignment horizontal="center" vertical="center" wrapText="1"/>
      <protection/>
    </xf>
    <xf numFmtId="0" fontId="27" fillId="0" borderId="55" xfId="88" applyFont="1" applyFill="1" applyBorder="1" applyAlignment="1">
      <alignment horizontal="center" vertical="center" wrapText="1"/>
      <protection/>
    </xf>
    <xf numFmtId="169" fontId="27" fillId="0" borderId="55" xfId="88" applyNumberFormat="1" applyFont="1" applyFill="1" applyBorder="1" applyAlignment="1">
      <alignment horizontal="center" vertical="center" wrapText="1"/>
      <protection/>
    </xf>
    <xf numFmtId="169" fontId="27" fillId="0" borderId="55" xfId="88" applyNumberFormat="1" applyFont="1" applyBorder="1" applyAlignment="1">
      <alignment horizontal="center" vertical="center" wrapText="1"/>
      <protection/>
    </xf>
    <xf numFmtId="3" fontId="27" fillId="0" borderId="55" xfId="88" applyNumberFormat="1" applyFont="1" applyBorder="1" applyAlignment="1">
      <alignment horizontal="center" vertical="center" wrapText="1"/>
      <protection/>
    </xf>
    <xf numFmtId="3" fontId="31" fillId="0" borderId="55" xfId="88" applyNumberFormat="1" applyFont="1" applyBorder="1" applyAlignment="1">
      <alignment horizontal="center" vertical="center" wrapText="1"/>
      <protection/>
    </xf>
    <xf numFmtId="3" fontId="26" fillId="0" borderId="55" xfId="88" applyNumberFormat="1" applyFont="1" applyBorder="1" applyAlignment="1">
      <alignment horizontal="center" vertical="center" wrapText="1"/>
      <protection/>
    </xf>
    <xf numFmtId="3" fontId="27" fillId="0" borderId="56" xfId="88" applyNumberFormat="1" applyFont="1" applyBorder="1" applyAlignment="1">
      <alignment horizontal="center" vertical="center" wrapText="1"/>
      <protection/>
    </xf>
    <xf numFmtId="0" fontId="27" fillId="0" borderId="14" xfId="88" applyFont="1" applyBorder="1" applyAlignment="1">
      <alignment horizontal="left" vertical="center" wrapText="1"/>
      <protection/>
    </xf>
    <xf numFmtId="0" fontId="27" fillId="0" borderId="14" xfId="88" applyFont="1" applyBorder="1" applyAlignment="1">
      <alignment horizontal="center" vertical="center" wrapText="1"/>
      <protection/>
    </xf>
    <xf numFmtId="0" fontId="27" fillId="0" borderId="14" xfId="88" applyFont="1" applyFill="1" applyBorder="1" applyAlignment="1">
      <alignment horizontal="center" vertical="center" wrapText="1"/>
      <protection/>
    </xf>
    <xf numFmtId="3" fontId="27" fillId="0" borderId="14" xfId="88" applyNumberFormat="1" applyFont="1" applyBorder="1" applyAlignment="1">
      <alignment horizontal="center" vertical="center" wrapText="1"/>
      <protection/>
    </xf>
    <xf numFmtId="169" fontId="27" fillId="0" borderId="14" xfId="88" applyNumberFormat="1" applyFont="1" applyBorder="1" applyAlignment="1">
      <alignment horizontal="center" vertical="center" wrapText="1"/>
      <protection/>
    </xf>
    <xf numFmtId="3" fontId="27" fillId="0" borderId="14" xfId="88" applyNumberFormat="1" applyFont="1" applyFill="1" applyBorder="1" applyAlignment="1">
      <alignment horizontal="center" vertical="center" wrapText="1"/>
      <protection/>
    </xf>
    <xf numFmtId="3" fontId="29" fillId="0" borderId="14" xfId="88" applyNumberFormat="1" applyFont="1" applyBorder="1" applyAlignment="1">
      <alignment horizontal="center" vertical="center" wrapText="1"/>
      <protection/>
    </xf>
    <xf numFmtId="3" fontId="31" fillId="0" borderId="14" xfId="88" applyNumberFormat="1" applyFont="1" applyBorder="1" applyAlignment="1">
      <alignment horizontal="center" vertical="center" wrapText="1"/>
      <protection/>
    </xf>
    <xf numFmtId="3" fontId="26" fillId="0" borderId="14" xfId="88" applyNumberFormat="1" applyFont="1" applyBorder="1" applyAlignment="1">
      <alignment horizontal="center" vertical="center" wrapText="1"/>
      <protection/>
    </xf>
    <xf numFmtId="0" fontId="24" fillId="0" borderId="14" xfId="88" applyFont="1" applyBorder="1" applyAlignment="1">
      <alignment horizontal="right"/>
      <protection/>
    </xf>
    <xf numFmtId="0" fontId="24" fillId="0" borderId="14" xfId="88" applyFont="1" applyBorder="1" applyAlignment="1">
      <alignment horizontal="left"/>
      <protection/>
    </xf>
    <xf numFmtId="0" fontId="24" fillId="0" borderId="14" xfId="88" applyFont="1" applyBorder="1" applyAlignment="1">
      <alignment horizontal="center"/>
      <protection/>
    </xf>
    <xf numFmtId="3" fontId="26" fillId="0" borderId="14" xfId="88" applyNumberFormat="1" applyFont="1" applyFill="1" applyBorder="1" applyAlignment="1">
      <alignment horizontal="center" vertical="center" wrapText="1"/>
      <protection/>
    </xf>
    <xf numFmtId="0" fontId="26" fillId="44" borderId="57" xfId="88" applyFont="1" applyFill="1" applyBorder="1" applyAlignment="1">
      <alignment horizontal="center" vertical="center" wrapText="1"/>
      <protection/>
    </xf>
    <xf numFmtId="0" fontId="26" fillId="44" borderId="54" xfId="88" applyFont="1" applyFill="1" applyBorder="1" applyAlignment="1">
      <alignment horizontal="center" vertical="center" wrapText="1"/>
      <protection/>
    </xf>
    <xf numFmtId="3" fontId="26" fillId="44" borderId="54" xfId="88" applyNumberFormat="1" applyFont="1" applyFill="1" applyBorder="1" applyAlignment="1">
      <alignment horizontal="center" vertical="center" wrapText="1"/>
      <protection/>
    </xf>
    <xf numFmtId="3" fontId="24" fillId="44" borderId="58" xfId="88" applyNumberFormat="1" applyFont="1" applyFill="1" applyBorder="1" applyAlignment="1">
      <alignment horizontal="center" vertical="center" wrapText="1"/>
      <protection/>
    </xf>
    <xf numFmtId="3" fontId="24" fillId="0" borderId="59" xfId="88" applyNumberFormat="1" applyFont="1" applyFill="1" applyBorder="1" applyAlignment="1">
      <alignment horizontal="center" vertical="center" wrapText="1"/>
      <protection/>
    </xf>
    <xf numFmtId="3" fontId="24" fillId="17" borderId="14" xfId="88" applyNumberFormat="1" applyFont="1" applyFill="1" applyBorder="1" applyAlignment="1">
      <alignment horizontal="center" vertical="center" wrapText="1"/>
      <protection/>
    </xf>
    <xf numFmtId="4" fontId="24" fillId="17" borderId="14" xfId="88" applyNumberFormat="1" applyFont="1" applyFill="1" applyBorder="1" applyAlignment="1">
      <alignment horizontal="center" vertical="center" wrapText="1"/>
      <protection/>
    </xf>
    <xf numFmtId="3" fontId="34" fillId="0" borderId="0" xfId="88" applyNumberFormat="1" applyFont="1">
      <alignment/>
      <protection/>
    </xf>
    <xf numFmtId="0" fontId="27" fillId="0" borderId="60" xfId="88" applyFont="1" applyBorder="1" applyAlignment="1">
      <alignment horizontal="center" vertical="center" wrapText="1"/>
      <protection/>
    </xf>
    <xf numFmtId="4" fontId="1" fillId="0" borderId="0" xfId="88" applyNumberFormat="1">
      <alignment/>
      <protection/>
    </xf>
    <xf numFmtId="0" fontId="26" fillId="0" borderId="0" xfId="88" applyFont="1" applyBorder="1" applyAlignment="1">
      <alignment horizontal="center" vertical="center" wrapText="1"/>
      <protection/>
    </xf>
    <xf numFmtId="0" fontId="26" fillId="0" borderId="0" xfId="88" applyFont="1" applyBorder="1" applyAlignment="1">
      <alignment horizontal="center"/>
      <protection/>
    </xf>
    <xf numFmtId="3" fontId="26" fillId="0" borderId="0" xfId="88" applyNumberFormat="1" applyFont="1" applyBorder="1" applyAlignment="1">
      <alignment horizontal="center"/>
      <protection/>
    </xf>
    <xf numFmtId="0" fontId="26" fillId="0" borderId="0" xfId="88" applyFont="1" applyBorder="1">
      <alignment/>
      <protection/>
    </xf>
    <xf numFmtId="0" fontId="26" fillId="0" borderId="0" xfId="88" applyFont="1">
      <alignment/>
      <protection/>
    </xf>
    <xf numFmtId="0" fontId="58" fillId="0" borderId="0" xfId="88" applyFont="1">
      <alignment/>
      <protection/>
    </xf>
    <xf numFmtId="0" fontId="24" fillId="0" borderId="0" xfId="88" applyFont="1" applyBorder="1">
      <alignment/>
      <protection/>
    </xf>
    <xf numFmtId="0" fontId="24" fillId="0" borderId="0" xfId="88" applyFont="1">
      <alignment/>
      <protection/>
    </xf>
    <xf numFmtId="0" fontId="59" fillId="0" borderId="0" xfId="88" applyFont="1">
      <alignment/>
      <protection/>
    </xf>
    <xf numFmtId="0" fontId="24" fillId="0" borderId="0" xfId="88" applyFont="1" applyFill="1" applyBorder="1" applyAlignment="1">
      <alignment horizontal="left" vertical="center" wrapText="1"/>
      <protection/>
    </xf>
    <xf numFmtId="0" fontId="24" fillId="0" borderId="61" xfId="88" applyFont="1" applyFill="1" applyBorder="1" applyAlignment="1">
      <alignment horizontal="left" vertical="center" wrapText="1"/>
      <protection/>
    </xf>
    <xf numFmtId="0" fontId="26" fillId="44" borderId="14" xfId="88" applyFont="1" applyFill="1" applyBorder="1" applyAlignment="1">
      <alignment horizontal="left" vertical="center" wrapText="1"/>
      <protection/>
    </xf>
    <xf numFmtId="0" fontId="26" fillId="44" borderId="14" xfId="88" applyFont="1" applyFill="1" applyBorder="1">
      <alignment/>
      <protection/>
    </xf>
    <xf numFmtId="9" fontId="1" fillId="0" borderId="0" xfId="88" applyNumberFormat="1">
      <alignment/>
      <protection/>
    </xf>
    <xf numFmtId="0" fontId="60" fillId="0" borderId="0" xfId="88" applyFont="1" applyBorder="1" applyAlignment="1">
      <alignment horizontal="center"/>
      <protection/>
    </xf>
    <xf numFmtId="0" fontId="7" fillId="0" borderId="14" xfId="97" applyNumberFormat="1" applyFont="1" applyFill="1" applyBorder="1" applyAlignment="1">
      <alignment vertical="center" wrapText="1"/>
      <protection/>
    </xf>
    <xf numFmtId="170" fontId="14" fillId="0" borderId="14" xfId="0" applyNumberFormat="1" applyFont="1" applyFill="1" applyBorder="1" applyAlignment="1">
      <alignment horizontal="center" vertical="center" wrapText="1"/>
    </xf>
    <xf numFmtId="170" fontId="12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170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2" fontId="7" fillId="0" borderId="14" xfId="0" applyNumberFormat="1" applyFont="1" applyBorder="1" applyAlignment="1">
      <alignment/>
    </xf>
    <xf numFmtId="170" fontId="7" fillId="0" borderId="14" xfId="0" applyNumberFormat="1" applyFont="1" applyFill="1" applyBorder="1" applyAlignment="1">
      <alignment horizontal="center" vertical="center" wrapText="1"/>
    </xf>
    <xf numFmtId="10" fontId="7" fillId="0" borderId="0" xfId="105" applyNumberFormat="1" applyFont="1" applyAlignment="1">
      <alignment/>
    </xf>
    <xf numFmtId="175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175" fontId="7" fillId="0" borderId="14" xfId="0" applyNumberFormat="1" applyFont="1" applyBorder="1" applyAlignment="1">
      <alignment/>
    </xf>
    <xf numFmtId="2" fontId="6" fillId="0" borderId="14" xfId="0" applyNumberFormat="1" applyFont="1" applyBorder="1" applyAlignment="1">
      <alignment/>
    </xf>
    <xf numFmtId="170" fontId="6" fillId="0" borderId="14" xfId="0" applyNumberFormat="1" applyFont="1" applyBorder="1" applyAlignment="1">
      <alignment/>
    </xf>
    <xf numFmtId="0" fontId="7" fillId="45" borderId="14" xfId="0" applyFont="1" applyFill="1" applyBorder="1" applyAlignment="1">
      <alignment/>
    </xf>
    <xf numFmtId="170" fontId="7" fillId="45" borderId="14" xfId="0" applyNumberFormat="1" applyFont="1" applyFill="1" applyBorder="1" applyAlignment="1">
      <alignment/>
    </xf>
    <xf numFmtId="49" fontId="38" fillId="0" borderId="0" xfId="90" applyFont="1" applyAlignment="1">
      <alignment/>
      <protection/>
    </xf>
    <xf numFmtId="10" fontId="38" fillId="0" borderId="0" xfId="90" applyNumberFormat="1" applyFont="1" applyAlignment="1">
      <alignment/>
      <protection/>
    </xf>
    <xf numFmtId="174" fontId="38" fillId="0" borderId="0" xfId="90" applyNumberFormat="1" applyFont="1" applyAlignment="1">
      <alignment/>
      <protection/>
    </xf>
    <xf numFmtId="2" fontId="0" fillId="0" borderId="0" xfId="108" applyNumberFormat="1">
      <alignment vertical="top"/>
    </xf>
    <xf numFmtId="2" fontId="38" fillId="0" borderId="0" xfId="90" applyNumberFormat="1" applyFont="1" applyAlignment="1">
      <alignment/>
      <protection/>
    </xf>
    <xf numFmtId="10" fontId="62" fillId="0" borderId="0" xfId="90" applyNumberFormat="1" applyFont="1" applyFill="1" applyAlignment="1">
      <alignment/>
      <protection/>
    </xf>
    <xf numFmtId="49" fontId="62" fillId="0" borderId="0" xfId="90" applyFont="1" applyFill="1" applyAlignment="1">
      <alignment/>
      <protection/>
    </xf>
    <xf numFmtId="2" fontId="62" fillId="0" borderId="0" xfId="90" applyNumberFormat="1" applyFont="1" applyFill="1" applyAlignment="1">
      <alignment/>
      <protection/>
    </xf>
    <xf numFmtId="49" fontId="7" fillId="0" borderId="0" xfId="90" applyFont="1" applyAlignment="1">
      <alignment/>
      <protection/>
    </xf>
    <xf numFmtId="4" fontId="0" fillId="0" borderId="0" xfId="108" applyNumberFormat="1">
      <alignment vertical="top"/>
    </xf>
    <xf numFmtId="0" fontId="7" fillId="0" borderId="14" xfId="98" applyNumberFormat="1" applyFont="1" applyFill="1" applyBorder="1" applyAlignment="1">
      <alignment vertical="top" wrapText="1"/>
      <protection/>
    </xf>
    <xf numFmtId="0" fontId="1" fillId="0" borderId="12" xfId="75" applyBorder="1">
      <alignment/>
      <protection/>
    </xf>
    <xf numFmtId="3" fontId="7" fillId="0" borderId="12" xfId="83" applyNumberFormat="1" applyFont="1" applyBorder="1" applyAlignment="1">
      <alignment horizontal="center" vertical="center" wrapText="1"/>
      <protection/>
    </xf>
    <xf numFmtId="0" fontId="12" fillId="0" borderId="14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wrapText="1"/>
    </xf>
    <xf numFmtId="0" fontId="27" fillId="0" borderId="14" xfId="0" applyFont="1" applyBorder="1" applyAlignment="1">
      <alignment horizontal="center" vertical="center" wrapText="1"/>
    </xf>
    <xf numFmtId="3" fontId="37" fillId="0" borderId="14" xfId="0" applyNumberFormat="1" applyFont="1" applyBorder="1" applyAlignment="1">
      <alignment horizontal="right"/>
    </xf>
    <xf numFmtId="9" fontId="0" fillId="0" borderId="14" xfId="105" applyFont="1" applyBorder="1" applyAlignment="1">
      <alignment/>
    </xf>
    <xf numFmtId="169" fontId="27" fillId="0" borderId="14" xfId="0" applyNumberFormat="1" applyFont="1" applyBorder="1" applyAlignment="1">
      <alignment/>
    </xf>
    <xf numFmtId="3" fontId="27" fillId="0" borderId="14" xfId="0" applyNumberFormat="1" applyFont="1" applyBorder="1" applyAlignment="1">
      <alignment horizontal="center"/>
    </xf>
    <xf numFmtId="4" fontId="27" fillId="0" borderId="14" xfId="0" applyNumberFormat="1" applyFont="1" applyBorder="1" applyAlignment="1">
      <alignment/>
    </xf>
    <xf numFmtId="3" fontId="26" fillId="0" borderId="14" xfId="0" applyNumberFormat="1" applyFont="1" applyBorder="1" applyAlignment="1">
      <alignment horizontal="right"/>
    </xf>
    <xf numFmtId="3" fontId="27" fillId="0" borderId="14" xfId="0" applyNumberFormat="1" applyFont="1" applyBorder="1" applyAlignment="1">
      <alignment horizontal="right"/>
    </xf>
    <xf numFmtId="4" fontId="50" fillId="0" borderId="62" xfId="82" applyNumberFormat="1" applyFont="1" applyBorder="1" applyAlignment="1">
      <alignment horizontal="right" vertical="top" wrapText="1"/>
      <protection/>
    </xf>
    <xf numFmtId="4" fontId="50" fillId="0" borderId="14" xfId="82" applyNumberFormat="1" applyFont="1" applyBorder="1" applyAlignment="1">
      <alignment horizontal="right" vertical="top" wrapText="1"/>
      <protection/>
    </xf>
    <xf numFmtId="4" fontId="0" fillId="0" borderId="1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4" fontId="0" fillId="0" borderId="12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4" xfId="0" applyBorder="1" applyAlignment="1">
      <alignment/>
    </xf>
    <xf numFmtId="4" fontId="35" fillId="0" borderId="14" xfId="0" applyNumberFormat="1" applyFont="1" applyBorder="1" applyAlignment="1">
      <alignment/>
    </xf>
    <xf numFmtId="4" fontId="0" fillId="48" borderId="14" xfId="0" applyNumberFormat="1" applyFill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0" fillId="17" borderId="14" xfId="0" applyNumberFormat="1" applyFill="1" applyBorder="1" applyAlignment="1">
      <alignment vertical="center"/>
    </xf>
    <xf numFmtId="171" fontId="0" fillId="0" borderId="14" xfId="0" applyNumberFormat="1" applyBorder="1" applyAlignment="1">
      <alignment vertical="center"/>
    </xf>
    <xf numFmtId="171" fontId="64" fillId="0" borderId="14" xfId="0" applyNumberFormat="1" applyFont="1" applyBorder="1" applyAlignment="1">
      <alignment/>
    </xf>
    <xf numFmtId="4" fontId="35" fillId="0" borderId="14" xfId="0" applyNumberFormat="1" applyFont="1" applyBorder="1" applyAlignment="1">
      <alignment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right" vertical="center"/>
    </xf>
    <xf numFmtId="170" fontId="0" fillId="0" borderId="0" xfId="0" applyNumberFormat="1" applyAlignment="1">
      <alignment/>
    </xf>
    <xf numFmtId="0" fontId="0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35" fillId="0" borderId="63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4" fontId="0" fillId="0" borderId="59" xfId="0" applyNumberFormat="1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35" fillId="5" borderId="24" xfId="0" applyFont="1" applyFill="1" applyBorder="1" applyAlignment="1">
      <alignment/>
    </xf>
    <xf numFmtId="4" fontId="35" fillId="5" borderId="21" xfId="0" applyNumberFormat="1" applyFont="1" applyFill="1" applyBorder="1" applyAlignment="1">
      <alignment/>
    </xf>
    <xf numFmtId="4" fontId="35" fillId="5" borderId="65" xfId="0" applyNumberFormat="1" applyFont="1" applyFill="1" applyBorder="1" applyAlignment="1">
      <alignment/>
    </xf>
    <xf numFmtId="1" fontId="0" fillId="0" borderId="14" xfId="105" applyNumberFormat="1" applyFont="1" applyBorder="1" applyAlignment="1">
      <alignment/>
    </xf>
    <xf numFmtId="0" fontId="35" fillId="0" borderId="59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50" fillId="0" borderId="14" xfId="82" applyNumberFormat="1" applyFont="1" applyBorder="1" applyAlignment="1">
      <alignment horizontal="left" vertical="center" wrapText="1"/>
      <protection/>
    </xf>
    <xf numFmtId="170" fontId="7" fillId="0" borderId="0" xfId="0" applyNumberFormat="1" applyFont="1" applyAlignment="1">
      <alignment/>
    </xf>
    <xf numFmtId="0" fontId="27" fillId="0" borderId="0" xfId="100">
      <alignment/>
      <protection/>
    </xf>
    <xf numFmtId="0" fontId="65" fillId="0" borderId="0" xfId="100" applyFont="1">
      <alignment/>
      <protection/>
    </xf>
    <xf numFmtId="0" fontId="65" fillId="0" borderId="0" xfId="100" applyFont="1" applyAlignment="1">
      <alignment horizontal="center"/>
      <protection/>
    </xf>
    <xf numFmtId="0" fontId="65" fillId="0" borderId="0" xfId="100" applyFont="1" applyAlignment="1">
      <alignment vertical="center"/>
      <protection/>
    </xf>
    <xf numFmtId="0" fontId="26" fillId="0" borderId="0" xfId="100" applyFont="1" applyAlignment="1">
      <alignment horizontal="center" vertical="center"/>
      <protection/>
    </xf>
    <xf numFmtId="0" fontId="34" fillId="0" borderId="0" xfId="100" applyFont="1">
      <alignment/>
      <protection/>
    </xf>
    <xf numFmtId="0" fontId="8" fillId="0" borderId="14" xfId="100" applyFont="1" applyBorder="1" applyAlignment="1">
      <alignment horizontal="center" vertical="center" wrapText="1"/>
      <protection/>
    </xf>
    <xf numFmtId="0" fontId="8" fillId="0" borderId="12" xfId="100" applyFont="1" applyBorder="1" applyAlignment="1">
      <alignment horizontal="center" vertical="center" wrapText="1"/>
      <protection/>
    </xf>
    <xf numFmtId="0" fontId="39" fillId="0" borderId="10" xfId="100" applyFont="1" applyBorder="1" applyAlignment="1">
      <alignment vertical="center" wrapText="1"/>
      <protection/>
    </xf>
    <xf numFmtId="3" fontId="26" fillId="0" borderId="14" xfId="99" applyNumberFormat="1" applyFont="1" applyBorder="1" applyAlignment="1">
      <alignment horizontal="center" vertical="center"/>
      <protection/>
    </xf>
    <xf numFmtId="4" fontId="26" fillId="0" borderId="14" xfId="99" applyNumberFormat="1" applyFont="1" applyBorder="1" applyAlignment="1">
      <alignment horizontal="center" vertical="center"/>
      <protection/>
    </xf>
    <xf numFmtId="3" fontId="26" fillId="0" borderId="14" xfId="99" applyNumberFormat="1" applyFont="1" applyBorder="1" applyAlignment="1">
      <alignment horizontal="right" vertical="center"/>
      <protection/>
    </xf>
    <xf numFmtId="2" fontId="27" fillId="0" borderId="14" xfId="100" applyNumberFormat="1" applyFont="1" applyBorder="1" applyAlignment="1">
      <alignment vertical="center" wrapText="1"/>
      <protection/>
    </xf>
    <xf numFmtId="0" fontId="27" fillId="0" borderId="0" xfId="100" applyFont="1" applyAlignment="1">
      <alignment vertical="center" wrapText="1"/>
      <protection/>
    </xf>
    <xf numFmtId="49" fontId="48" fillId="0" borderId="10" xfId="100" applyNumberFormat="1" applyFont="1" applyBorder="1" applyAlignment="1">
      <alignment horizontal="right" vertical="center" wrapText="1"/>
      <protection/>
    </xf>
    <xf numFmtId="1" fontId="24" fillId="0" borderId="14" xfId="100" applyNumberFormat="1" applyFont="1" applyBorder="1" applyAlignment="1">
      <alignment vertical="center" wrapText="1"/>
      <protection/>
    </xf>
    <xf numFmtId="2" fontId="60" fillId="0" borderId="14" xfId="100" applyNumberFormat="1" applyFont="1" applyBorder="1" applyAlignment="1">
      <alignment vertical="center" wrapText="1"/>
      <protection/>
    </xf>
    <xf numFmtId="3" fontId="24" fillId="0" borderId="14" xfId="100" applyNumberFormat="1" applyFont="1" applyBorder="1" applyAlignment="1">
      <alignment vertical="center" wrapText="1"/>
      <protection/>
    </xf>
    <xf numFmtId="2" fontId="24" fillId="0" borderId="14" xfId="100" applyNumberFormat="1" applyFont="1" applyBorder="1" applyAlignment="1">
      <alignment vertical="center" wrapText="1"/>
      <protection/>
    </xf>
    <xf numFmtId="2" fontId="26" fillId="0" borderId="14" xfId="100" applyNumberFormat="1" applyFont="1" applyBorder="1" applyAlignment="1">
      <alignment vertical="center" wrapText="1"/>
      <protection/>
    </xf>
    <xf numFmtId="3" fontId="27" fillId="0" borderId="0" xfId="100" applyNumberFormat="1" applyFont="1" applyAlignment="1">
      <alignment vertical="center" wrapText="1"/>
      <protection/>
    </xf>
    <xf numFmtId="4" fontId="27" fillId="0" borderId="0" xfId="100" applyNumberFormat="1" applyFont="1" applyAlignment="1">
      <alignment vertical="center" wrapText="1"/>
      <protection/>
    </xf>
    <xf numFmtId="0" fontId="66" fillId="0" borderId="10" xfId="99" applyFont="1" applyBorder="1" applyAlignment="1">
      <alignment horizontal="right"/>
      <protection/>
    </xf>
    <xf numFmtId="1" fontId="60" fillId="0" borderId="14" xfId="100" applyNumberFormat="1" applyFont="1" applyBorder="1" applyAlignment="1">
      <alignment vertical="center" wrapText="1"/>
      <protection/>
    </xf>
    <xf numFmtId="0" fontId="60" fillId="0" borderId="14" xfId="100" applyFont="1" applyBorder="1" applyAlignment="1">
      <alignment vertical="center" wrapText="1"/>
      <protection/>
    </xf>
    <xf numFmtId="3" fontId="60" fillId="0" borderId="14" xfId="100" applyNumberFormat="1" applyFont="1" applyBorder="1" applyAlignment="1">
      <alignment vertical="center" wrapText="1"/>
      <protection/>
    </xf>
    <xf numFmtId="2" fontId="26" fillId="0" borderId="14" xfId="100" applyNumberFormat="1" applyFont="1" applyFill="1" applyBorder="1" applyAlignment="1">
      <alignment vertical="center" wrapText="1"/>
      <protection/>
    </xf>
    <xf numFmtId="0" fontId="27" fillId="0" borderId="0" xfId="100" applyFont="1" applyAlignment="1">
      <alignment vertical="center"/>
      <protection/>
    </xf>
    <xf numFmtId="2" fontId="27" fillId="0" borderId="0" xfId="100" applyNumberFormat="1" applyFont="1" applyAlignment="1">
      <alignment vertical="center" wrapText="1"/>
      <protection/>
    </xf>
    <xf numFmtId="0" fontId="66" fillId="0" borderId="24" xfId="99" applyFont="1" applyBorder="1" applyAlignment="1">
      <alignment horizontal="right"/>
      <protection/>
    </xf>
    <xf numFmtId="1" fontId="60" fillId="0" borderId="21" xfId="100" applyNumberFormat="1" applyFont="1" applyBorder="1" applyAlignment="1">
      <alignment vertical="center" wrapText="1"/>
      <protection/>
    </xf>
    <xf numFmtId="0" fontId="27" fillId="0" borderId="21" xfId="100" applyFont="1" applyBorder="1" applyAlignment="1">
      <alignment vertical="center" wrapText="1"/>
      <protection/>
    </xf>
    <xf numFmtId="2" fontId="27" fillId="0" borderId="21" xfId="100" applyNumberFormat="1" applyFont="1" applyBorder="1" applyAlignment="1">
      <alignment vertical="center" wrapText="1"/>
      <protection/>
    </xf>
    <xf numFmtId="2" fontId="60" fillId="0" borderId="21" xfId="100" applyNumberFormat="1" applyFont="1" applyBorder="1" applyAlignment="1">
      <alignment vertical="center" wrapText="1"/>
      <protection/>
    </xf>
    <xf numFmtId="3" fontId="60" fillId="0" borderId="21" xfId="100" applyNumberFormat="1" applyFont="1" applyBorder="1" applyAlignment="1">
      <alignment vertical="center" wrapText="1"/>
      <protection/>
    </xf>
    <xf numFmtId="2" fontId="27" fillId="0" borderId="21" xfId="100" applyNumberFormat="1" applyFont="1" applyFill="1" applyBorder="1" applyAlignment="1">
      <alignment vertical="center" wrapText="1"/>
      <protection/>
    </xf>
    <xf numFmtId="0" fontId="39" fillId="0" borderId="66" xfId="100" applyFont="1" applyBorder="1" applyAlignment="1">
      <alignment vertical="center" wrapText="1"/>
      <protection/>
    </xf>
    <xf numFmtId="3" fontId="26" fillId="0" borderId="11" xfId="99" applyNumberFormat="1" applyFont="1" applyBorder="1" applyAlignment="1">
      <alignment horizontal="center" vertical="center"/>
      <protection/>
    </xf>
    <xf numFmtId="0" fontId="26" fillId="0" borderId="11" xfId="100" applyFont="1" applyBorder="1" applyAlignment="1">
      <alignment vertical="center" wrapText="1"/>
      <protection/>
    </xf>
    <xf numFmtId="2" fontId="26" fillId="0" borderId="11" xfId="100" applyNumberFormat="1" applyFont="1" applyBorder="1" applyAlignment="1">
      <alignment vertical="center" wrapText="1"/>
      <protection/>
    </xf>
    <xf numFmtId="2" fontId="60" fillId="0" borderId="11" xfId="100" applyNumberFormat="1" applyFont="1" applyBorder="1" applyAlignment="1">
      <alignment vertical="center" wrapText="1"/>
      <protection/>
    </xf>
    <xf numFmtId="3" fontId="26" fillId="0" borderId="11" xfId="99" applyNumberFormat="1" applyFont="1" applyBorder="1" applyAlignment="1">
      <alignment horizontal="right" vertical="center"/>
      <protection/>
    </xf>
    <xf numFmtId="170" fontId="27" fillId="0" borderId="11" xfId="100" applyNumberFormat="1" applyFont="1" applyBorder="1" applyAlignment="1">
      <alignment vertical="center" wrapText="1"/>
      <protection/>
    </xf>
    <xf numFmtId="2" fontId="27" fillId="0" borderId="11" xfId="100" applyNumberFormat="1" applyFont="1" applyBorder="1" applyAlignment="1">
      <alignment vertical="center" wrapText="1"/>
      <protection/>
    </xf>
    <xf numFmtId="1" fontId="26" fillId="0" borderId="11" xfId="100" applyNumberFormat="1" applyFont="1" applyBorder="1" applyAlignment="1">
      <alignment vertical="center" wrapText="1"/>
      <protection/>
    </xf>
    <xf numFmtId="2" fontId="27" fillId="0" borderId="11" xfId="100" applyNumberFormat="1" applyFont="1" applyFill="1" applyBorder="1" applyAlignment="1">
      <alignment vertical="center" wrapText="1"/>
      <protection/>
    </xf>
    <xf numFmtId="4" fontId="26" fillId="0" borderId="12" xfId="99" applyNumberFormat="1" applyFont="1" applyBorder="1" applyAlignment="1">
      <alignment horizontal="center" vertical="center"/>
      <protection/>
    </xf>
    <xf numFmtId="0" fontId="27" fillId="0" borderId="14" xfId="100" applyFont="1" applyBorder="1" applyAlignment="1">
      <alignment vertical="center" wrapText="1"/>
      <protection/>
    </xf>
    <xf numFmtId="0" fontId="27" fillId="0" borderId="14" xfId="100" applyFont="1" applyBorder="1" applyAlignment="1">
      <alignment horizontal="center" vertical="center" wrapText="1"/>
      <protection/>
    </xf>
    <xf numFmtId="49" fontId="42" fillId="0" borderId="67" xfId="100" applyNumberFormat="1" applyFont="1" applyBorder="1" applyAlignment="1">
      <alignment horizontal="right" vertical="center" wrapText="1"/>
      <protection/>
    </xf>
    <xf numFmtId="2" fontId="27" fillId="0" borderId="14" xfId="100" applyNumberFormat="1" applyFont="1" applyBorder="1" applyAlignment="1">
      <alignment horizontal="center" vertical="center" wrapText="1"/>
      <protection/>
    </xf>
    <xf numFmtId="4" fontId="60" fillId="0" borderId="14" xfId="100" applyNumberFormat="1" applyFont="1" applyBorder="1" applyAlignment="1">
      <alignment vertical="center" wrapText="1"/>
      <protection/>
    </xf>
    <xf numFmtId="9" fontId="27" fillId="0" borderId="37" xfId="105" applyFont="1" applyBorder="1" applyAlignment="1">
      <alignment horizontal="center" vertical="center" wrapText="1"/>
    </xf>
    <xf numFmtId="0" fontId="42" fillId="0" borderId="68" xfId="100" applyFont="1" applyBorder="1" applyAlignment="1">
      <alignment horizontal="right" vertical="center" wrapText="1"/>
      <protection/>
    </xf>
    <xf numFmtId="170" fontId="60" fillId="0" borderId="14" xfId="100" applyNumberFormat="1" applyFont="1" applyBorder="1" applyAlignment="1">
      <alignment vertical="center" wrapText="1"/>
      <protection/>
    </xf>
    <xf numFmtId="9" fontId="27" fillId="0" borderId="30" xfId="105" applyFont="1" applyBorder="1" applyAlignment="1">
      <alignment horizontal="center" vertical="center" wrapText="1"/>
    </xf>
    <xf numFmtId="0" fontId="26" fillId="0" borderId="69" xfId="100" applyFont="1" applyBorder="1" applyAlignment="1">
      <alignment vertical="center" wrapText="1"/>
      <protection/>
    </xf>
    <xf numFmtId="3" fontId="26" fillId="0" borderId="70" xfId="99" applyNumberFormat="1" applyFont="1" applyBorder="1" applyAlignment="1">
      <alignment horizontal="center" vertical="center"/>
      <protection/>
    </xf>
    <xf numFmtId="2" fontId="26" fillId="0" borderId="70" xfId="100" applyNumberFormat="1" applyFont="1" applyBorder="1" applyAlignment="1">
      <alignment vertical="center" wrapText="1"/>
      <protection/>
    </xf>
    <xf numFmtId="4" fontId="26" fillId="0" borderId="70" xfId="99" applyNumberFormat="1" applyFont="1" applyBorder="1" applyAlignment="1">
      <alignment horizontal="center" vertical="center"/>
      <protection/>
    </xf>
    <xf numFmtId="3" fontId="26" fillId="0" borderId="71" xfId="99" applyNumberFormat="1" applyFont="1" applyBorder="1" applyAlignment="1">
      <alignment horizontal="center" vertical="center"/>
      <protection/>
    </xf>
    <xf numFmtId="0" fontId="26" fillId="0" borderId="0" xfId="100" applyFont="1" applyAlignment="1">
      <alignment vertical="center" wrapText="1"/>
      <protection/>
    </xf>
    <xf numFmtId="49" fontId="42" fillId="0" borderId="72" xfId="100" applyNumberFormat="1" applyFont="1" applyBorder="1" applyAlignment="1">
      <alignment horizontal="right" vertical="center" wrapText="1"/>
      <protection/>
    </xf>
    <xf numFmtId="4" fontId="27" fillId="0" borderId="20" xfId="99" applyNumberFormat="1" applyFont="1" applyBorder="1" applyAlignment="1">
      <alignment horizontal="center" vertical="center"/>
      <protection/>
    </xf>
    <xf numFmtId="4" fontId="27" fillId="0" borderId="27" xfId="99" applyNumberFormat="1" applyFont="1" applyBorder="1" applyAlignment="1">
      <alignment horizontal="center" vertical="center"/>
      <protection/>
    </xf>
    <xf numFmtId="4" fontId="27" fillId="0" borderId="21" xfId="99" applyNumberFormat="1" applyFont="1" applyBorder="1" applyAlignment="1">
      <alignment horizontal="center" vertical="center"/>
      <protection/>
    </xf>
    <xf numFmtId="4" fontId="27" fillId="0" borderId="65" xfId="99" applyNumberFormat="1" applyFont="1" applyBorder="1" applyAlignment="1">
      <alignment horizontal="center" vertical="center"/>
      <protection/>
    </xf>
    <xf numFmtId="3" fontId="27" fillId="0" borderId="0" xfId="100" applyNumberFormat="1">
      <alignment/>
      <protection/>
    </xf>
    <xf numFmtId="4" fontId="27" fillId="0" borderId="0" xfId="100" applyNumberFormat="1">
      <alignment/>
      <protection/>
    </xf>
    <xf numFmtId="0" fontId="27" fillId="0" borderId="0" xfId="100" applyFont="1" applyBorder="1" applyAlignment="1">
      <alignment horizontal="left" vertical="center"/>
      <protection/>
    </xf>
    <xf numFmtId="0" fontId="8" fillId="0" borderId="0" xfId="81" applyFont="1" applyFill="1" applyAlignment="1" applyProtection="1">
      <alignment horizontal="left" vertical="center" wrapText="1"/>
      <protection/>
    </xf>
    <xf numFmtId="0" fontId="7" fillId="0" borderId="0" xfId="100" applyFont="1" applyAlignment="1">
      <alignment wrapText="1"/>
      <protection/>
    </xf>
    <xf numFmtId="0" fontId="38" fillId="0" borderId="0" xfId="81" applyFont="1" applyFill="1" applyAlignment="1" applyProtection="1">
      <alignment vertical="center" wrapText="1"/>
      <protection/>
    </xf>
    <xf numFmtId="0" fontId="7" fillId="0" borderId="0" xfId="81" applyFont="1" applyFill="1" applyAlignment="1" applyProtection="1">
      <alignment vertical="center" wrapText="1"/>
      <protection/>
    </xf>
    <xf numFmtId="0" fontId="8" fillId="0" borderId="30" xfId="100" applyFont="1" applyBorder="1" applyAlignment="1">
      <alignment horizontal="center" vertical="center" wrapText="1"/>
      <protection/>
    </xf>
    <xf numFmtId="0" fontId="38" fillId="0" borderId="30" xfId="100" applyFont="1" applyBorder="1" applyAlignment="1">
      <alignment vertical="center" wrapText="1"/>
      <protection/>
    </xf>
    <xf numFmtId="2" fontId="27" fillId="0" borderId="30" xfId="100" applyNumberFormat="1" applyFont="1" applyBorder="1" applyAlignment="1">
      <alignment vertical="center" wrapText="1"/>
      <protection/>
    </xf>
    <xf numFmtId="0" fontId="27" fillId="0" borderId="30" xfId="100" applyFont="1" applyBorder="1" applyAlignment="1">
      <alignment vertical="center" wrapText="1"/>
      <protection/>
    </xf>
    <xf numFmtId="4" fontId="27" fillId="0" borderId="30" xfId="100" applyNumberFormat="1" applyFont="1" applyBorder="1" applyAlignment="1">
      <alignment vertical="center" wrapText="1"/>
      <protection/>
    </xf>
    <xf numFmtId="170" fontId="27" fillId="0" borderId="30" xfId="100" applyNumberFormat="1" applyFont="1" applyBorder="1" applyAlignment="1">
      <alignment vertical="center" wrapText="1"/>
      <protection/>
    </xf>
    <xf numFmtId="49" fontId="21" fillId="0" borderId="30" xfId="100" applyNumberFormat="1" applyFont="1" applyBorder="1" applyAlignment="1">
      <alignment horizontal="right" vertical="center" wrapText="1"/>
      <protection/>
    </xf>
    <xf numFmtId="0" fontId="60" fillId="0" borderId="30" xfId="100" applyFont="1" applyBorder="1" applyAlignment="1">
      <alignment vertical="center" wrapText="1"/>
      <protection/>
    </xf>
    <xf numFmtId="2" fontId="60" fillId="0" borderId="30" xfId="100" applyNumberFormat="1" applyFont="1" applyBorder="1" applyAlignment="1">
      <alignment vertical="center" wrapText="1"/>
      <protection/>
    </xf>
    <xf numFmtId="170" fontId="60" fillId="0" borderId="30" xfId="100" applyNumberFormat="1" applyFont="1" applyBorder="1" applyAlignment="1">
      <alignment vertical="center" wrapText="1"/>
      <protection/>
    </xf>
    <xf numFmtId="4" fontId="60" fillId="0" borderId="30" xfId="100" applyNumberFormat="1" applyFont="1" applyBorder="1" applyAlignment="1">
      <alignment vertical="center" wrapText="1"/>
      <protection/>
    </xf>
    <xf numFmtId="0" fontId="21" fillId="0" borderId="30" xfId="100" applyFont="1" applyBorder="1" applyAlignment="1">
      <alignment horizontal="right" vertical="center" wrapText="1"/>
      <protection/>
    </xf>
    <xf numFmtId="2" fontId="60" fillId="0" borderId="30" xfId="100" applyNumberFormat="1" applyFont="1" applyFill="1" applyBorder="1" applyAlignment="1">
      <alignment vertical="center" wrapText="1"/>
      <protection/>
    </xf>
    <xf numFmtId="2" fontId="27" fillId="0" borderId="30" xfId="100" applyNumberFormat="1" applyFont="1" applyFill="1" applyBorder="1" applyAlignment="1">
      <alignment vertical="center" wrapText="1"/>
      <protection/>
    </xf>
    <xf numFmtId="0" fontId="26" fillId="0" borderId="30" xfId="100" applyFont="1" applyBorder="1" applyAlignment="1">
      <alignment vertical="center" wrapText="1"/>
      <protection/>
    </xf>
    <xf numFmtId="2" fontId="26" fillId="0" borderId="30" xfId="100" applyNumberFormat="1" applyFont="1" applyBorder="1" applyAlignment="1">
      <alignment vertical="center" wrapText="1"/>
      <protection/>
    </xf>
    <xf numFmtId="170" fontId="26" fillId="0" borderId="30" xfId="100" applyNumberFormat="1" applyFont="1" applyBorder="1" applyAlignment="1">
      <alignment vertical="center" wrapText="1"/>
      <protection/>
    </xf>
    <xf numFmtId="4" fontId="26" fillId="0" borderId="30" xfId="100" applyNumberFormat="1" applyFont="1" applyBorder="1" applyAlignment="1">
      <alignment vertical="center" wrapText="1"/>
      <protection/>
    </xf>
    <xf numFmtId="49" fontId="67" fillId="0" borderId="30" xfId="100" applyNumberFormat="1" applyFont="1" applyBorder="1" applyAlignment="1">
      <alignment horizontal="right" vertical="center" wrapText="1"/>
      <protection/>
    </xf>
    <xf numFmtId="2" fontId="24" fillId="0" borderId="30" xfId="100" applyNumberFormat="1" applyFont="1" applyBorder="1" applyAlignment="1">
      <alignment vertical="center" wrapText="1"/>
      <protection/>
    </xf>
    <xf numFmtId="170" fontId="24" fillId="0" borderId="30" xfId="100" applyNumberFormat="1" applyFont="1" applyBorder="1" applyAlignment="1">
      <alignment vertical="center" wrapText="1"/>
      <protection/>
    </xf>
    <xf numFmtId="4" fontId="24" fillId="0" borderId="30" xfId="100" applyNumberFormat="1" applyFont="1" applyBorder="1" applyAlignment="1">
      <alignment vertical="center" wrapText="1"/>
      <protection/>
    </xf>
    <xf numFmtId="0" fontId="67" fillId="0" borderId="30" xfId="100" applyFont="1" applyBorder="1" applyAlignment="1">
      <alignment horizontal="right" vertical="center" wrapText="1"/>
      <protection/>
    </xf>
    <xf numFmtId="0" fontId="24" fillId="0" borderId="30" xfId="100" applyFont="1" applyBorder="1" applyAlignment="1">
      <alignment vertical="center" wrapText="1"/>
      <protection/>
    </xf>
    <xf numFmtId="2" fontId="27" fillId="0" borderId="0" xfId="100" applyNumberFormat="1">
      <alignment/>
      <protection/>
    </xf>
    <xf numFmtId="168" fontId="7" fillId="0" borderId="0" xfId="105" applyNumberFormat="1" applyFont="1" applyAlignment="1">
      <alignment/>
    </xf>
    <xf numFmtId="0" fontId="7" fillId="0" borderId="12" xfId="0" applyFont="1" applyBorder="1" applyAlignment="1">
      <alignment horizontal="left" vertical="center" wrapText="1"/>
    </xf>
    <xf numFmtId="201" fontId="68" fillId="3" borderId="62" xfId="82" applyNumberFormat="1" applyFont="1" applyFill="1" applyBorder="1" applyAlignment="1">
      <alignment horizontal="right" vertical="top" wrapText="1"/>
      <protection/>
    </xf>
    <xf numFmtId="0" fontId="68" fillId="3" borderId="62" xfId="82" applyNumberFormat="1" applyFont="1" applyFill="1" applyBorder="1" applyAlignment="1">
      <alignment horizontal="left" vertical="top" wrapText="1"/>
      <protection/>
    </xf>
    <xf numFmtId="201" fontId="0" fillId="0" borderId="0" xfId="0" applyNumberFormat="1" applyAlignment="1">
      <alignment/>
    </xf>
    <xf numFmtId="201" fontId="69" fillId="3" borderId="73" xfId="82" applyNumberFormat="1" applyFont="1" applyFill="1" applyBorder="1" applyAlignment="1">
      <alignment horizontal="right" vertical="top" wrapText="1"/>
      <protection/>
    </xf>
    <xf numFmtId="0" fontId="68" fillId="45" borderId="62" xfId="82" applyNumberFormat="1" applyFont="1" applyFill="1" applyBorder="1" applyAlignment="1">
      <alignment horizontal="left" vertical="top" wrapText="1"/>
      <protection/>
    </xf>
    <xf numFmtId="201" fontId="68" fillId="45" borderId="62" xfId="82" applyNumberFormat="1" applyFont="1" applyFill="1" applyBorder="1" applyAlignment="1">
      <alignment horizontal="right" vertical="top" wrapText="1"/>
      <protection/>
    </xf>
    <xf numFmtId="0" fontId="68" fillId="49" borderId="62" xfId="82" applyNumberFormat="1" applyFont="1" applyFill="1" applyBorder="1" applyAlignment="1">
      <alignment horizontal="left" vertical="top" wrapText="1"/>
      <protection/>
    </xf>
    <xf numFmtId="201" fontId="68" fillId="49" borderId="62" xfId="82" applyNumberFormat="1" applyFont="1" applyFill="1" applyBorder="1" applyAlignment="1">
      <alignment horizontal="right" vertical="top" wrapText="1"/>
      <protection/>
    </xf>
    <xf numFmtId="201" fontId="28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0" fillId="3" borderId="74" xfId="82" applyNumberFormat="1" applyFont="1" applyFill="1" applyBorder="1" applyAlignment="1">
      <alignment horizontal="left" vertical="top" wrapText="1"/>
      <protection/>
    </xf>
    <xf numFmtId="2" fontId="50" fillId="0" borderId="75" xfId="82" applyNumberFormat="1" applyFont="1" applyBorder="1" applyAlignment="1">
      <alignment horizontal="right" vertical="top" wrapText="1"/>
      <protection/>
    </xf>
    <xf numFmtId="0" fontId="0" fillId="0" borderId="14" xfId="0" applyBorder="1" applyAlignment="1">
      <alignment vertical="center" wrapText="1"/>
    </xf>
    <xf numFmtId="0" fontId="0" fillId="3" borderId="14" xfId="82" applyNumberFormat="1" applyFont="1" applyFill="1" applyBorder="1" applyAlignment="1">
      <alignment horizontal="center" vertical="top" wrapText="1"/>
      <protection/>
    </xf>
    <xf numFmtId="10" fontId="0" fillId="0" borderId="14" xfId="0" applyNumberFormat="1" applyBorder="1" applyAlignment="1">
      <alignment horizontal="center"/>
    </xf>
    <xf numFmtId="170" fontId="0" fillId="0" borderId="14" xfId="0" applyNumberFormat="1" applyBorder="1" applyAlignment="1">
      <alignment/>
    </xf>
    <xf numFmtId="168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/>
    </xf>
    <xf numFmtId="10" fontId="0" fillId="49" borderId="14" xfId="0" applyNumberFormat="1" applyFill="1" applyBorder="1" applyAlignment="1">
      <alignment/>
    </xf>
    <xf numFmtId="168" fontId="7" fillId="0" borderId="0" xfId="105" applyNumberFormat="1" applyFont="1" applyAlignment="1">
      <alignment vertical="center" wrapText="1"/>
    </xf>
    <xf numFmtId="0" fontId="70" fillId="0" borderId="0" xfId="0" applyFont="1" applyAlignment="1">
      <alignment/>
    </xf>
    <xf numFmtId="0" fontId="12" fillId="0" borderId="6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2" fontId="35" fillId="49" borderId="14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69" fontId="74" fillId="0" borderId="0" xfId="112" applyNumberFormat="1" applyFont="1" applyFill="1" applyBorder="1" applyAlignment="1" applyProtection="1">
      <alignment horizontal="center"/>
      <protection/>
    </xf>
    <xf numFmtId="9" fontId="7" fillId="0" borderId="0" xfId="105" applyFont="1" applyAlignment="1">
      <alignment/>
    </xf>
    <xf numFmtId="177" fontId="38" fillId="0" borderId="14" xfId="91" applyNumberFormat="1" applyFont="1" applyFill="1" applyBorder="1" applyAlignment="1">
      <alignment horizontal="center" vertical="center"/>
      <protection/>
    </xf>
    <xf numFmtId="0" fontId="38" fillId="0" borderId="14" xfId="91" applyFont="1" applyFill="1" applyBorder="1" applyAlignment="1">
      <alignment horizontal="center" vertical="center"/>
      <protection/>
    </xf>
    <xf numFmtId="169" fontId="39" fillId="0" borderId="14" xfId="112" applyNumberFormat="1" applyFont="1" applyFill="1" applyBorder="1" applyAlignment="1" applyProtection="1">
      <alignment horizontal="center"/>
      <protection/>
    </xf>
    <xf numFmtId="0" fontId="72" fillId="0" borderId="14" xfId="91" applyFont="1" applyFill="1" applyBorder="1" applyAlignment="1">
      <alignment horizontal="center"/>
      <protection/>
    </xf>
    <xf numFmtId="0" fontId="73" fillId="0" borderId="14" xfId="91" applyFont="1" applyFill="1" applyBorder="1" applyAlignment="1">
      <alignment horizontal="left"/>
      <protection/>
    </xf>
    <xf numFmtId="9" fontId="39" fillId="0" borderId="14" xfId="112" applyNumberFormat="1" applyFont="1" applyFill="1" applyBorder="1" applyAlignment="1" applyProtection="1">
      <alignment horizontal="center"/>
      <protection/>
    </xf>
    <xf numFmtId="10" fontId="39" fillId="0" borderId="14" xfId="112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 wrapText="1"/>
    </xf>
    <xf numFmtId="0" fontId="7" fillId="0" borderId="14" xfId="0" applyFont="1" applyBorder="1" applyAlignment="1">
      <alignment horizontal="right"/>
    </xf>
    <xf numFmtId="0" fontId="17" fillId="0" borderId="14" xfId="0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9" fontId="0" fillId="0" borderId="0" xfId="105" applyFont="1" applyAlignment="1">
      <alignment vertical="top"/>
    </xf>
    <xf numFmtId="9" fontId="7" fillId="0" borderId="0" xfId="0" applyNumberFormat="1" applyFont="1" applyAlignment="1">
      <alignment/>
    </xf>
    <xf numFmtId="0" fontId="7" fillId="0" borderId="0" xfId="0" applyFont="1" applyAlignment="1">
      <alignment horizontal="center" wrapText="1"/>
    </xf>
    <xf numFmtId="2" fontId="6" fillId="0" borderId="0" xfId="0" applyNumberFormat="1" applyFont="1" applyAlignment="1">
      <alignment/>
    </xf>
    <xf numFmtId="0" fontId="12" fillId="0" borderId="14" xfId="94" applyNumberFormat="1" applyFont="1" applyBorder="1" applyAlignment="1">
      <alignment horizontal="left" vertical="top" wrapText="1"/>
      <protection/>
    </xf>
    <xf numFmtId="0" fontId="12" fillId="0" borderId="14" xfId="94" applyNumberFormat="1" applyFont="1" applyBorder="1" applyAlignment="1">
      <alignment horizontal="left" vertical="center" wrapText="1"/>
      <protection/>
    </xf>
    <xf numFmtId="0" fontId="12" fillId="0" borderId="14" xfId="0" applyFont="1" applyBorder="1" applyAlignment="1">
      <alignment horizontal="left" vertical="center" wrapText="1"/>
    </xf>
    <xf numFmtId="4" fontId="12" fillId="0" borderId="14" xfId="91" applyNumberFormat="1" applyFont="1" applyFill="1" applyBorder="1" applyAlignment="1">
      <alignment horizontal="center" vertical="center"/>
      <protection/>
    </xf>
    <xf numFmtId="49" fontId="38" fillId="0" borderId="14" xfId="90" applyFont="1" applyBorder="1" applyAlignment="1">
      <alignment horizontal="center" vertical="center" wrapText="1"/>
      <protection/>
    </xf>
    <xf numFmtId="49" fontId="38" fillId="0" borderId="14" xfId="90" applyFont="1" applyBorder="1" applyAlignment="1">
      <alignment horizontal="center" vertical="center"/>
      <protection/>
    </xf>
    <xf numFmtId="49" fontId="38" fillId="0" borderId="14" xfId="90" applyFont="1" applyFill="1" applyBorder="1" applyAlignment="1">
      <alignment horizontal="center" vertical="center"/>
      <protection/>
    </xf>
    <xf numFmtId="4" fontId="39" fillId="0" borderId="14" xfId="90" applyNumberFormat="1" applyFont="1" applyFill="1" applyBorder="1" applyAlignment="1">
      <alignment horizontal="center" vertical="center"/>
      <protection/>
    </xf>
    <xf numFmtId="2" fontId="38" fillId="0" borderId="14" xfId="90" applyNumberFormat="1" applyFont="1" applyFill="1" applyBorder="1" applyAlignment="1">
      <alignment horizontal="center" vertical="center"/>
      <protection/>
    </xf>
    <xf numFmtId="4" fontId="38" fillId="0" borderId="14" xfId="90" applyNumberFormat="1" applyFont="1" applyFill="1" applyBorder="1" applyAlignment="1">
      <alignment horizontal="center" vertical="center"/>
      <protection/>
    </xf>
    <xf numFmtId="0" fontId="52" fillId="0" borderId="14" xfId="0" applyFont="1" applyFill="1" applyBorder="1" applyAlignment="1" applyProtection="1">
      <alignment horizontal="center" vertical="center" wrapText="1"/>
      <protection/>
    </xf>
    <xf numFmtId="2" fontId="41" fillId="0" borderId="0" xfId="0" applyNumberFormat="1" applyFont="1" applyAlignment="1">
      <alignment/>
    </xf>
    <xf numFmtId="169" fontId="51" fillId="0" borderId="14" xfId="85" applyNumberFormat="1" applyFont="1" applyFill="1" applyBorder="1" applyAlignment="1" applyProtection="1">
      <alignment horizontal="center" vertical="center" wrapText="1"/>
      <protection/>
    </xf>
    <xf numFmtId="2" fontId="14" fillId="0" borderId="14" xfId="0" applyNumberFormat="1" applyFont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17" borderId="24" xfId="0" applyFont="1" applyFill="1" applyBorder="1" applyAlignment="1">
      <alignment wrapText="1"/>
    </xf>
    <xf numFmtId="4" fontId="12" fillId="17" borderId="21" xfId="0" applyNumberFormat="1" applyFont="1" applyFill="1" applyBorder="1" applyAlignment="1">
      <alignment horizontal="center"/>
    </xf>
    <xf numFmtId="0" fontId="12" fillId="17" borderId="65" xfId="0" applyFont="1" applyFill="1" applyBorder="1" applyAlignment="1">
      <alignment/>
    </xf>
    <xf numFmtId="0" fontId="12" fillId="17" borderId="21" xfId="0" applyFont="1" applyFill="1" applyBorder="1" applyAlignment="1">
      <alignment vertical="center"/>
    </xf>
    <xf numFmtId="0" fontId="13" fillId="0" borderId="0" xfId="78" applyAlignment="1">
      <alignment vertical="center"/>
      <protection/>
    </xf>
    <xf numFmtId="0" fontId="13" fillId="0" borderId="0" xfId="78">
      <alignment/>
      <protection/>
    </xf>
    <xf numFmtId="0" fontId="13" fillId="0" borderId="0" xfId="78" applyAlignment="1">
      <alignment horizontal="left"/>
      <protection/>
    </xf>
    <xf numFmtId="0" fontId="13" fillId="0" borderId="0" xfId="78" applyFill="1" applyAlignment="1">
      <alignment horizontal="left"/>
      <protection/>
    </xf>
    <xf numFmtId="0" fontId="13" fillId="0" borderId="0" xfId="78" applyAlignment="1">
      <alignment horizontal="left" vertical="center"/>
      <protection/>
    </xf>
    <xf numFmtId="0" fontId="13" fillId="0" borderId="0" xfId="78" applyAlignment="1">
      <alignment vertical="center" wrapText="1"/>
      <protection/>
    </xf>
    <xf numFmtId="0" fontId="0" fillId="0" borderId="0" xfId="78" applyFont="1" applyAlignment="1">
      <alignment horizontal="center" vertical="center"/>
      <protection/>
    </xf>
    <xf numFmtId="201" fontId="76" fillId="17" borderId="14" xfId="78" applyNumberFormat="1" applyFont="1" applyFill="1" applyBorder="1" applyAlignment="1">
      <alignment horizontal="right" vertical="top" wrapText="1"/>
      <protection/>
    </xf>
    <xf numFmtId="190" fontId="76" fillId="0" borderId="76" xfId="78" applyNumberFormat="1" applyFont="1" applyFill="1" applyBorder="1" applyAlignment="1">
      <alignment horizontal="right" vertical="top" wrapText="1"/>
      <protection/>
    </xf>
    <xf numFmtId="201" fontId="76" fillId="0" borderId="0" xfId="78" applyNumberFormat="1" applyFont="1" applyFill="1" applyBorder="1" applyAlignment="1">
      <alignment horizontal="right" vertical="top" wrapText="1"/>
      <protection/>
    </xf>
    <xf numFmtId="2" fontId="13" fillId="0" borderId="0" xfId="78" applyNumberFormat="1" applyFill="1" applyAlignment="1">
      <alignment horizontal="left"/>
      <protection/>
    </xf>
    <xf numFmtId="190" fontId="50" fillId="0" borderId="0" xfId="78" applyNumberFormat="1" applyFont="1" applyFill="1" applyBorder="1" applyAlignment="1">
      <alignment horizontal="right" vertical="top" wrapText="1"/>
      <protection/>
    </xf>
    <xf numFmtId="0" fontId="13" fillId="0" borderId="0" xfId="78" applyFill="1" applyAlignment="1">
      <alignment vertical="center"/>
      <protection/>
    </xf>
    <xf numFmtId="0" fontId="13" fillId="0" borderId="0" xfId="78" applyFill="1">
      <alignment/>
      <protection/>
    </xf>
    <xf numFmtId="0" fontId="13" fillId="0" borderId="77" xfId="78" applyBorder="1" applyAlignment="1">
      <alignment horizontal="left"/>
      <protection/>
    </xf>
    <xf numFmtId="0" fontId="13" fillId="0" borderId="14" xfId="78" applyBorder="1" applyAlignment="1">
      <alignment horizontal="left"/>
      <protection/>
    </xf>
    <xf numFmtId="201" fontId="13" fillId="0" borderId="0" xfId="78" applyNumberFormat="1">
      <alignment/>
      <protection/>
    </xf>
    <xf numFmtId="0" fontId="0" fillId="0" borderId="10" xfId="78" applyFont="1" applyBorder="1" applyAlignment="1">
      <alignment horizontal="center" vertical="center"/>
      <protection/>
    </xf>
    <xf numFmtId="0" fontId="79" fillId="0" borderId="14" xfId="78" applyFont="1" applyBorder="1" applyAlignment="1">
      <alignment vertical="center" wrapText="1"/>
      <protection/>
    </xf>
    <xf numFmtId="201" fontId="80" fillId="0" borderId="14" xfId="78" applyNumberFormat="1" applyFont="1" applyFill="1" applyBorder="1" applyAlignment="1">
      <alignment horizontal="right" vertical="top" wrapText="1"/>
      <protection/>
    </xf>
    <xf numFmtId="201" fontId="75" fillId="0" borderId="14" xfId="78" applyNumberFormat="1" applyFont="1" applyFill="1" applyBorder="1" applyAlignment="1">
      <alignment horizontal="right" vertical="top" wrapText="1"/>
      <protection/>
    </xf>
    <xf numFmtId="2" fontId="13" fillId="0" borderId="0" xfId="78" applyNumberFormat="1" applyAlignment="1">
      <alignment horizontal="left"/>
      <protection/>
    </xf>
    <xf numFmtId="0" fontId="13" fillId="0" borderId="78" xfId="78" applyBorder="1" applyAlignment="1">
      <alignment horizontal="left"/>
      <protection/>
    </xf>
    <xf numFmtId="0" fontId="0" fillId="0" borderId="0" xfId="78" applyFont="1" applyBorder="1" applyAlignment="1">
      <alignment horizontal="center" vertical="center"/>
      <protection/>
    </xf>
    <xf numFmtId="0" fontId="81" fillId="0" borderId="0" xfId="78" applyNumberFormat="1" applyFont="1" applyFill="1" applyBorder="1" applyAlignment="1">
      <alignment vertical="top" wrapText="1"/>
      <protection/>
    </xf>
    <xf numFmtId="201" fontId="75" fillId="0" borderId="0" xfId="78" applyNumberFormat="1" applyFont="1" applyFill="1" applyBorder="1" applyAlignment="1">
      <alignment horizontal="right" vertical="top" wrapText="1"/>
      <protection/>
    </xf>
    <xf numFmtId="0" fontId="13" fillId="0" borderId="0" xfId="78" applyBorder="1" applyAlignment="1">
      <alignment horizontal="left"/>
      <protection/>
    </xf>
    <xf numFmtId="204" fontId="38" fillId="0" borderId="14" xfId="78" applyNumberFormat="1" applyFont="1" applyBorder="1" applyAlignment="1">
      <alignment horizontal="center" vertical="center" wrapText="1"/>
      <protection/>
    </xf>
    <xf numFmtId="49" fontId="38" fillId="0" borderId="14" xfId="78" applyNumberFormat="1" applyFont="1" applyBorder="1" applyAlignment="1">
      <alignment horizontal="center" vertical="center" wrapText="1"/>
      <protection/>
    </xf>
    <xf numFmtId="49" fontId="38" fillId="0" borderId="12" xfId="78" applyNumberFormat="1" applyFont="1" applyBorder="1" applyAlignment="1">
      <alignment horizontal="center" vertical="center" wrapText="1"/>
      <protection/>
    </xf>
    <xf numFmtId="201" fontId="75" fillId="0" borderId="12" xfId="78" applyNumberFormat="1" applyFont="1" applyFill="1" applyBorder="1" applyAlignment="1">
      <alignment horizontal="right" vertical="top" wrapText="1"/>
      <protection/>
    </xf>
    <xf numFmtId="0" fontId="13" fillId="0" borderId="20" xfId="78" applyBorder="1" applyAlignment="1">
      <alignment horizontal="left"/>
      <protection/>
    </xf>
    <xf numFmtId="0" fontId="13" fillId="0" borderId="14" xfId="78" applyBorder="1">
      <alignment/>
      <protection/>
    </xf>
    <xf numFmtId="0" fontId="13" fillId="17" borderId="14" xfId="78" applyFill="1" applyBorder="1" applyAlignment="1">
      <alignment/>
      <protection/>
    </xf>
    <xf numFmtId="0" fontId="13" fillId="0" borderId="79" xfId="78" applyBorder="1" applyAlignment="1">
      <alignment horizontal="left"/>
      <protection/>
    </xf>
    <xf numFmtId="0" fontId="13" fillId="17" borderId="80" xfId="78" applyFill="1" applyBorder="1" applyAlignment="1">
      <alignment/>
      <protection/>
    </xf>
    <xf numFmtId="0" fontId="13" fillId="17" borderId="14" xfId="78" applyFont="1" applyFill="1" applyBorder="1" applyAlignment="1">
      <alignment horizontal="left"/>
      <protection/>
    </xf>
    <xf numFmtId="201" fontId="35" fillId="17" borderId="14" xfId="78" applyNumberFormat="1" applyFont="1" applyFill="1" applyBorder="1" applyAlignment="1">
      <alignment horizontal="right" vertical="top" wrapText="1"/>
      <protection/>
    </xf>
    <xf numFmtId="0" fontId="13" fillId="0" borderId="14" xfId="78" applyNumberFormat="1" applyFont="1" applyBorder="1" applyAlignment="1">
      <alignment horizontal="left" vertical="top" wrapText="1"/>
      <protection/>
    </xf>
    <xf numFmtId="0" fontId="13" fillId="0" borderId="14" xfId="78" applyFont="1" applyBorder="1">
      <alignment/>
      <protection/>
    </xf>
    <xf numFmtId="0" fontId="13" fillId="0" borderId="14" xfId="78" applyFont="1" applyBorder="1" applyAlignment="1">
      <alignment horizontal="left"/>
      <protection/>
    </xf>
    <xf numFmtId="0" fontId="13" fillId="0" borderId="14" xfId="78" applyFont="1" applyFill="1" applyBorder="1" applyAlignment="1">
      <alignment horizontal="left"/>
      <protection/>
    </xf>
    <xf numFmtId="0" fontId="0" fillId="0" borderId="14" xfId="78" applyNumberFormat="1" applyFont="1" applyFill="1" applyBorder="1" applyAlignment="1">
      <alignment horizontal="left" vertical="top" wrapText="1"/>
      <protection/>
    </xf>
    <xf numFmtId="201" fontId="0" fillId="0" borderId="14" xfId="78" applyNumberFormat="1" applyFont="1" applyFill="1" applyBorder="1" applyAlignment="1">
      <alignment horizontal="right" vertical="top" wrapText="1"/>
      <protection/>
    </xf>
    <xf numFmtId="201" fontId="50" fillId="0" borderId="14" xfId="78" applyNumberFormat="1" applyFont="1" applyFill="1" applyBorder="1" applyAlignment="1">
      <alignment horizontal="right" vertical="top" wrapText="1"/>
      <protection/>
    </xf>
    <xf numFmtId="0" fontId="50" fillId="0" borderId="14" xfId="78" applyNumberFormat="1" applyFont="1" applyFill="1" applyBorder="1" applyAlignment="1">
      <alignment horizontal="right" vertical="top" wrapText="1"/>
      <protection/>
    </xf>
    <xf numFmtId="203" fontId="50" fillId="0" borderId="14" xfId="78" applyNumberFormat="1" applyFont="1" applyFill="1" applyBorder="1" applyAlignment="1">
      <alignment horizontal="right" vertical="top" wrapText="1"/>
      <protection/>
    </xf>
    <xf numFmtId="201" fontId="50" fillId="0" borderId="81" xfId="78" applyNumberFormat="1" applyFont="1" applyFill="1" applyBorder="1" applyAlignment="1">
      <alignment horizontal="right" vertical="top" wrapText="1"/>
      <protection/>
    </xf>
    <xf numFmtId="203" fontId="50" fillId="0" borderId="81" xfId="78" applyNumberFormat="1" applyFont="1" applyFill="1" applyBorder="1" applyAlignment="1">
      <alignment horizontal="right" vertical="top" wrapText="1"/>
      <protection/>
    </xf>
    <xf numFmtId="0" fontId="50" fillId="0" borderId="81" xfId="78" applyNumberFormat="1" applyFont="1" applyFill="1" applyBorder="1" applyAlignment="1">
      <alignment horizontal="right" vertical="top" wrapText="1"/>
      <protection/>
    </xf>
    <xf numFmtId="201" fontId="77" fillId="0" borderId="10" xfId="78" applyNumberFormat="1" applyFont="1" applyFill="1" applyBorder="1" applyAlignment="1">
      <alignment horizontal="right" vertical="top" wrapText="1"/>
      <protection/>
    </xf>
    <xf numFmtId="201" fontId="77" fillId="0" borderId="12" xfId="78" applyNumberFormat="1" applyFont="1" applyFill="1" applyBorder="1" applyAlignment="1">
      <alignment horizontal="right" vertical="top" wrapText="1"/>
      <protection/>
    </xf>
    <xf numFmtId="201" fontId="50" fillId="0" borderId="10" xfId="78" applyNumberFormat="1" applyFont="1" applyFill="1" applyBorder="1" applyAlignment="1">
      <alignment horizontal="right" vertical="top" wrapText="1"/>
      <protection/>
    </xf>
    <xf numFmtId="201" fontId="50" fillId="0" borderId="12" xfId="78" applyNumberFormat="1" applyFont="1" applyFill="1" applyBorder="1" applyAlignment="1">
      <alignment horizontal="right" vertical="top" wrapText="1"/>
      <protection/>
    </xf>
    <xf numFmtId="201" fontId="0" fillId="0" borderId="10" xfId="78" applyNumberFormat="1" applyFont="1" applyFill="1" applyBorder="1" applyAlignment="1">
      <alignment horizontal="right" vertical="top" wrapText="1"/>
      <protection/>
    </xf>
    <xf numFmtId="201" fontId="0" fillId="0" borderId="12" xfId="78" applyNumberFormat="1" applyFont="1" applyFill="1" applyBorder="1" applyAlignment="1">
      <alignment horizontal="right" vertical="top" wrapText="1"/>
      <protection/>
    </xf>
    <xf numFmtId="201" fontId="35" fillId="17" borderId="12" xfId="78" applyNumberFormat="1" applyFont="1" applyFill="1" applyBorder="1" applyAlignment="1">
      <alignment horizontal="right" vertical="top" wrapText="1"/>
      <protection/>
    </xf>
    <xf numFmtId="0" fontId="13" fillId="0" borderId="26" xfId="78" applyFont="1" applyBorder="1" applyAlignment="1">
      <alignment horizontal="left"/>
      <protection/>
    </xf>
    <xf numFmtId="0" fontId="13" fillId="0" borderId="26" xfId="78" applyFont="1" applyFill="1" applyBorder="1" applyAlignment="1">
      <alignment horizontal="left"/>
      <protection/>
    </xf>
    <xf numFmtId="203" fontId="50" fillId="0" borderId="26" xfId="78" applyNumberFormat="1" applyFont="1" applyFill="1" applyBorder="1" applyAlignment="1">
      <alignment horizontal="right" vertical="top" wrapText="1"/>
      <protection/>
    </xf>
    <xf numFmtId="190" fontId="35" fillId="17" borderId="82" xfId="78" applyNumberFormat="1" applyFont="1" applyFill="1" applyBorder="1" applyAlignment="1">
      <alignment horizontal="right" vertical="top" wrapText="1"/>
      <protection/>
    </xf>
    <xf numFmtId="190" fontId="35" fillId="17" borderId="83" xfId="78" applyNumberFormat="1" applyFont="1" applyFill="1" applyBorder="1" applyAlignment="1">
      <alignment horizontal="right" vertical="top" wrapText="1"/>
      <protection/>
    </xf>
    <xf numFmtId="0" fontId="0" fillId="3" borderId="14" xfId="78" applyNumberFormat="1" applyFont="1" applyFill="1" applyBorder="1" applyAlignment="1">
      <alignment vertical="top" wrapText="1"/>
      <protection/>
    </xf>
    <xf numFmtId="201" fontId="0" fillId="0" borderId="14" xfId="78" applyNumberFormat="1" applyFont="1" applyFill="1" applyBorder="1" applyAlignment="1">
      <alignment horizontal="right" vertical="top" wrapText="1"/>
      <protection/>
    </xf>
    <xf numFmtId="0" fontId="13" fillId="0" borderId="14" xfId="78" applyFont="1" applyBorder="1" applyAlignment="1">
      <alignment horizontal="left"/>
      <protection/>
    </xf>
    <xf numFmtId="190" fontId="0" fillId="0" borderId="14" xfId="78" applyNumberFormat="1" applyFont="1" applyFill="1" applyBorder="1" applyAlignment="1">
      <alignment horizontal="right" vertical="top" wrapText="1"/>
      <protection/>
    </xf>
    <xf numFmtId="190" fontId="0" fillId="0" borderId="14" xfId="78" applyNumberFormat="1" applyFont="1" applyFill="1" applyBorder="1" applyAlignment="1">
      <alignment horizontal="right" vertical="top" wrapText="1"/>
      <protection/>
    </xf>
    <xf numFmtId="175" fontId="84" fillId="3" borderId="62" xfId="76" applyNumberFormat="1" applyFont="1" applyFill="1" applyBorder="1" applyAlignment="1">
      <alignment horizontal="right" vertical="top" wrapText="1"/>
      <protection/>
    </xf>
    <xf numFmtId="190" fontId="35" fillId="17" borderId="84" xfId="78" applyNumberFormat="1" applyFont="1" applyFill="1" applyBorder="1" applyAlignment="1">
      <alignment horizontal="right" vertical="top" wrapText="1"/>
      <protection/>
    </xf>
    <xf numFmtId="201" fontId="35" fillId="17" borderId="69" xfId="78" applyNumberFormat="1" applyFont="1" applyFill="1" applyBorder="1" applyAlignment="1">
      <alignment horizontal="right" vertical="top" wrapText="1"/>
      <protection/>
    </xf>
    <xf numFmtId="201" fontId="13" fillId="0" borderId="0" xfId="78" applyNumberFormat="1" applyAlignment="1">
      <alignment horizontal="left"/>
      <protection/>
    </xf>
    <xf numFmtId="190" fontId="35" fillId="17" borderId="85" xfId="78" applyNumberFormat="1" applyFont="1" applyFill="1" applyBorder="1" applyAlignment="1">
      <alignment horizontal="right" vertical="top" wrapText="1"/>
      <protection/>
    </xf>
    <xf numFmtId="0" fontId="58" fillId="0" borderId="11" xfId="77" applyFont="1" applyBorder="1">
      <alignment/>
      <protection/>
    </xf>
    <xf numFmtId="0" fontId="58" fillId="0" borderId="19" xfId="77" applyFont="1" applyBorder="1">
      <alignment/>
      <protection/>
    </xf>
    <xf numFmtId="201" fontId="69" fillId="3" borderId="14" xfId="0" applyNumberFormat="1" applyFont="1" applyFill="1" applyBorder="1" applyAlignment="1">
      <alignment horizontal="right" vertical="center" wrapText="1"/>
    </xf>
    <xf numFmtId="201" fontId="85" fillId="50" borderId="14" xfId="77" applyNumberFormat="1" applyFont="1" applyFill="1" applyBorder="1" applyAlignment="1">
      <alignment horizontal="right" vertical="center" wrapText="1"/>
      <protection/>
    </xf>
    <xf numFmtId="201" fontId="85" fillId="50" borderId="12" xfId="77" applyNumberFormat="1" applyFont="1" applyFill="1" applyBorder="1" applyAlignment="1">
      <alignment horizontal="right" vertical="center" wrapText="1"/>
      <protection/>
    </xf>
    <xf numFmtId="168" fontId="85" fillId="50" borderId="14" xfId="77" applyNumberFormat="1" applyFont="1" applyFill="1" applyBorder="1" applyAlignment="1">
      <alignment horizontal="center" vertical="center" wrapText="1"/>
      <protection/>
    </xf>
    <xf numFmtId="168" fontId="85" fillId="50" borderId="12" xfId="77" applyNumberFormat="1" applyFont="1" applyFill="1" applyBorder="1" applyAlignment="1">
      <alignment horizontal="center" vertical="center" wrapText="1"/>
      <protection/>
    </xf>
    <xf numFmtId="201" fontId="85" fillId="50" borderId="21" xfId="77" applyNumberFormat="1" applyFont="1" applyFill="1" applyBorder="1" applyAlignment="1">
      <alignment horizontal="center" vertical="center" wrapText="1"/>
      <protection/>
    </xf>
    <xf numFmtId="201" fontId="85" fillId="50" borderId="65" xfId="77" applyNumberFormat="1" applyFont="1" applyFill="1" applyBorder="1" applyAlignment="1">
      <alignment horizontal="center" vertical="center" wrapText="1"/>
      <protection/>
    </xf>
    <xf numFmtId="9" fontId="38" fillId="0" borderId="0" xfId="105" applyFont="1" applyAlignment="1">
      <alignment/>
    </xf>
    <xf numFmtId="2" fontId="42" fillId="0" borderId="14" xfId="90" applyNumberFormat="1" applyFont="1" applyFill="1" applyBorder="1" applyAlignment="1">
      <alignment horizontal="center" vertical="center"/>
      <protection/>
    </xf>
    <xf numFmtId="0" fontId="13" fillId="0" borderId="86" xfId="78" applyBorder="1" applyAlignment="1">
      <alignment vertical="center" wrapText="1"/>
      <protection/>
    </xf>
    <xf numFmtId="4" fontId="55" fillId="3" borderId="87" xfId="76" applyNumberFormat="1" applyFont="1" applyFill="1" applyBorder="1" applyAlignment="1">
      <alignment horizontal="right" vertical="top" wrapText="1"/>
      <protection/>
    </xf>
    <xf numFmtId="4" fontId="13" fillId="0" borderId="0" xfId="78" applyNumberFormat="1" applyAlignment="1">
      <alignment horizontal="left"/>
      <protection/>
    </xf>
    <xf numFmtId="4" fontId="68" fillId="3" borderId="88" xfId="76" applyNumberFormat="1" applyFont="1" applyFill="1" applyBorder="1" applyAlignment="1">
      <alignment horizontal="right" vertical="top" wrapText="1"/>
      <protection/>
    </xf>
    <xf numFmtId="0" fontId="78" fillId="0" borderId="86" xfId="78" applyFont="1" applyBorder="1" applyAlignment="1">
      <alignment vertical="center" wrapText="1"/>
      <protection/>
    </xf>
    <xf numFmtId="0" fontId="78" fillId="0" borderId="89" xfId="78" applyFont="1" applyBorder="1" applyAlignment="1">
      <alignment vertical="center" wrapText="1"/>
      <protection/>
    </xf>
    <xf numFmtId="3" fontId="37" fillId="0" borderId="14" xfId="0" applyNumberFormat="1" applyFont="1" applyBorder="1" applyAlignment="1">
      <alignment/>
    </xf>
    <xf numFmtId="3" fontId="27" fillId="0" borderId="14" xfId="0" applyNumberFormat="1" applyFont="1" applyBorder="1" applyAlignment="1">
      <alignment/>
    </xf>
    <xf numFmtId="0" fontId="86" fillId="0" borderId="14" xfId="79" applyNumberFormat="1" applyFont="1" applyFill="1" applyBorder="1" applyAlignment="1">
      <alignment horizontal="center" vertical="center" wrapText="1"/>
      <protection/>
    </xf>
    <xf numFmtId="190" fontId="87" fillId="0" borderId="14" xfId="79" applyNumberFormat="1" applyFont="1" applyFill="1" applyBorder="1" applyAlignment="1">
      <alignment horizontal="right" vertical="top" wrapText="1"/>
      <protection/>
    </xf>
    <xf numFmtId="190" fontId="86" fillId="0" borderId="14" xfId="79" applyNumberFormat="1" applyFont="1" applyFill="1" applyBorder="1" applyAlignment="1">
      <alignment horizontal="right" vertical="top" wrapText="1"/>
      <protection/>
    </xf>
    <xf numFmtId="205" fontId="87" fillId="0" borderId="14" xfId="79" applyNumberFormat="1" applyFont="1" applyFill="1" applyBorder="1" applyAlignment="1">
      <alignment horizontal="right" vertical="top" wrapText="1"/>
      <protection/>
    </xf>
    <xf numFmtId="205" fontId="13" fillId="0" borderId="0" xfId="78" applyNumberFormat="1">
      <alignment/>
      <protection/>
    </xf>
    <xf numFmtId="0" fontId="79" fillId="0" borderId="14" xfId="78" applyNumberFormat="1" applyFont="1" applyFill="1" applyBorder="1" applyAlignment="1">
      <alignment vertical="top" wrapText="1"/>
      <protection/>
    </xf>
    <xf numFmtId="201" fontId="87" fillId="0" borderId="14" xfId="79" applyNumberFormat="1" applyFont="1" applyFill="1" applyBorder="1" applyAlignment="1">
      <alignment horizontal="right" vertical="top" wrapText="1"/>
      <protection/>
    </xf>
    <xf numFmtId="205" fontId="88" fillId="0" borderId="0" xfId="78" applyNumberFormat="1" applyFont="1">
      <alignment/>
      <protection/>
    </xf>
    <xf numFmtId="190" fontId="13" fillId="0" borderId="0" xfId="78" applyNumberFormat="1" applyAlignment="1">
      <alignment horizontal="left"/>
      <protection/>
    </xf>
    <xf numFmtId="0" fontId="1" fillId="0" borderId="11" xfId="89" applyBorder="1">
      <alignment/>
      <protection/>
    </xf>
    <xf numFmtId="0" fontId="27" fillId="0" borderId="11" xfId="89" applyFont="1" applyBorder="1" applyAlignment="1">
      <alignment horizontal="center" vertical="center" wrapText="1"/>
      <protection/>
    </xf>
    <xf numFmtId="0" fontId="27" fillId="0" borderId="19" xfId="89" applyFont="1" applyBorder="1" applyAlignment="1">
      <alignment horizontal="center" vertical="center" wrapText="1"/>
      <protection/>
    </xf>
    <xf numFmtId="3" fontId="27" fillId="0" borderId="14" xfId="89" applyNumberFormat="1" applyFont="1" applyBorder="1">
      <alignment/>
      <protection/>
    </xf>
    <xf numFmtId="3" fontId="27" fillId="0" borderId="12" xfId="89" applyNumberFormat="1" applyFont="1" applyBorder="1">
      <alignment/>
      <protection/>
    </xf>
    <xf numFmtId="0" fontId="1" fillId="0" borderId="14" xfId="89" applyBorder="1">
      <alignment/>
      <protection/>
    </xf>
    <xf numFmtId="0" fontId="1" fillId="0" borderId="12" xfId="89" applyBorder="1">
      <alignment/>
      <protection/>
    </xf>
    <xf numFmtId="3" fontId="27" fillId="0" borderId="21" xfId="89" applyNumberFormat="1" applyFont="1" applyBorder="1">
      <alignment/>
      <protection/>
    </xf>
    <xf numFmtId="3" fontId="89" fillId="0" borderId="21" xfId="89" applyNumberFormat="1" applyFont="1" applyBorder="1">
      <alignment/>
      <protection/>
    </xf>
    <xf numFmtId="3" fontId="27" fillId="0" borderId="65" xfId="89" applyNumberFormat="1" applyFont="1" applyBorder="1">
      <alignment/>
      <protection/>
    </xf>
    <xf numFmtId="169" fontId="27" fillId="0" borderId="12" xfId="89" applyNumberFormat="1" applyFont="1" applyBorder="1">
      <alignment/>
      <protection/>
    </xf>
    <xf numFmtId="4" fontId="27" fillId="0" borderId="65" xfId="89" applyNumberFormat="1" applyFont="1" applyBorder="1">
      <alignment/>
      <protection/>
    </xf>
    <xf numFmtId="0" fontId="27" fillId="0" borderId="59" xfId="89" applyFont="1" applyBorder="1" applyAlignment="1">
      <alignment horizontal="center" vertical="center" wrapText="1"/>
      <protection/>
    </xf>
    <xf numFmtId="3" fontId="27" fillId="0" borderId="26" xfId="89" applyNumberFormat="1" applyFont="1" applyBorder="1">
      <alignment/>
      <protection/>
    </xf>
    <xf numFmtId="3" fontId="27" fillId="0" borderId="18" xfId="89" applyNumberFormat="1" applyFont="1" applyBorder="1">
      <alignment/>
      <protection/>
    </xf>
    <xf numFmtId="0" fontId="1" fillId="0" borderId="84" xfId="88" applyBorder="1">
      <alignment/>
      <protection/>
    </xf>
    <xf numFmtId="0" fontId="1" fillId="0" borderId="90" xfId="88" applyBorder="1">
      <alignment/>
      <protection/>
    </xf>
    <xf numFmtId="0" fontId="1" fillId="0" borderId="14" xfId="88" applyBorder="1">
      <alignment/>
      <protection/>
    </xf>
    <xf numFmtId="0" fontId="1" fillId="0" borderId="11" xfId="88" applyBorder="1">
      <alignment/>
      <protection/>
    </xf>
    <xf numFmtId="0" fontId="1" fillId="0" borderId="19" xfId="88" applyBorder="1">
      <alignment/>
      <protection/>
    </xf>
    <xf numFmtId="0" fontId="1" fillId="0" borderId="12" xfId="88" applyBorder="1">
      <alignment/>
      <protection/>
    </xf>
    <xf numFmtId="0" fontId="1" fillId="0" borderId="21" xfId="88" applyBorder="1">
      <alignment/>
      <protection/>
    </xf>
    <xf numFmtId="0" fontId="1" fillId="0" borderId="65" xfId="88" applyBorder="1">
      <alignment/>
      <protection/>
    </xf>
    <xf numFmtId="3" fontId="1" fillId="0" borderId="11" xfId="88" applyNumberFormat="1" applyBorder="1">
      <alignment/>
      <protection/>
    </xf>
    <xf numFmtId="3" fontId="1" fillId="0" borderId="54" xfId="88" applyNumberFormat="1" applyBorder="1">
      <alignment/>
      <protection/>
    </xf>
    <xf numFmtId="0" fontId="1" fillId="0" borderId="54" xfId="88" applyBorder="1">
      <alignment/>
      <protection/>
    </xf>
    <xf numFmtId="0" fontId="1" fillId="0" borderId="58" xfId="88" applyBorder="1">
      <alignment/>
      <protection/>
    </xf>
    <xf numFmtId="169" fontId="27" fillId="0" borderId="14" xfId="89" applyNumberFormat="1" applyFont="1" applyBorder="1">
      <alignment/>
      <protection/>
    </xf>
    <xf numFmtId="0" fontId="27" fillId="0" borderId="0" xfId="0" applyFont="1" applyAlignment="1">
      <alignment/>
    </xf>
    <xf numFmtId="0" fontId="14" fillId="0" borderId="14" xfId="80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Font="1" applyBorder="1" applyAlignment="1">
      <alignment horizontal="left" vertical="center" wrapText="1" indent="1"/>
    </xf>
    <xf numFmtId="16" fontId="18" fillId="0" borderId="14" xfId="0" applyNumberFormat="1" applyFont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left" vertical="center" wrapText="1"/>
    </xf>
    <xf numFmtId="0" fontId="18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/>
    </xf>
    <xf numFmtId="0" fontId="13" fillId="0" borderId="14" xfId="78" applyBorder="1" applyAlignment="1">
      <alignment horizontal="center"/>
      <protection/>
    </xf>
    <xf numFmtId="49" fontId="39" fillId="0" borderId="14" xfId="90" applyFont="1" applyBorder="1" applyAlignment="1">
      <alignment horizontal="left" vertical="center"/>
      <protection/>
    </xf>
    <xf numFmtId="10" fontId="0" fillId="0" borderId="14" xfId="108" applyNumberFormat="1" applyFill="1" applyBorder="1" applyAlignment="1" applyProtection="1">
      <alignment horizontal="center" vertical="center"/>
      <protection/>
    </xf>
    <xf numFmtId="49" fontId="38" fillId="0" borderId="14" xfId="90" applyFont="1" applyBorder="1" applyAlignment="1">
      <alignment horizontal="left" vertical="center"/>
      <protection/>
    </xf>
    <xf numFmtId="49" fontId="38" fillId="0" borderId="14" xfId="90" applyFont="1" applyBorder="1" applyAlignment="1">
      <alignment horizontal="left" vertical="center" wrapText="1"/>
      <protection/>
    </xf>
    <xf numFmtId="0" fontId="38" fillId="0" borderId="14" xfId="90" applyNumberFormat="1" applyFont="1" applyFill="1" applyBorder="1" applyAlignment="1">
      <alignment horizontal="center" vertical="center"/>
      <protection/>
    </xf>
    <xf numFmtId="170" fontId="38" fillId="0" borderId="14" xfId="90" applyNumberFormat="1" applyFont="1" applyFill="1" applyBorder="1" applyAlignment="1">
      <alignment horizontal="center" vertical="center"/>
      <protection/>
    </xf>
    <xf numFmtId="49" fontId="42" fillId="0" borderId="14" xfId="90" applyFont="1" applyBorder="1" applyAlignment="1">
      <alignment horizontal="center" vertical="center"/>
      <protection/>
    </xf>
    <xf numFmtId="49" fontId="42" fillId="0" borderId="14" xfId="90" applyFont="1" applyBorder="1" applyAlignment="1">
      <alignment horizontal="left" vertical="center"/>
      <protection/>
    </xf>
    <xf numFmtId="9" fontId="0" fillId="0" borderId="14" xfId="108" applyFill="1" applyBorder="1" applyAlignment="1" applyProtection="1">
      <alignment horizontal="center" vertical="center"/>
      <protection/>
    </xf>
    <xf numFmtId="49" fontId="39" fillId="0" borderId="14" xfId="90" applyFont="1" applyBorder="1" applyAlignment="1">
      <alignment horizontal="left" vertical="center" wrapText="1"/>
      <protection/>
    </xf>
    <xf numFmtId="10" fontId="38" fillId="0" borderId="14" xfId="90" applyNumberFormat="1" applyFont="1" applyFill="1" applyBorder="1" applyAlignment="1">
      <alignment horizontal="center" vertical="center"/>
      <protection/>
    </xf>
    <xf numFmtId="49" fontId="38" fillId="0" borderId="11" xfId="90" applyFont="1" applyBorder="1" applyAlignment="1">
      <alignment horizontal="center" vertical="center"/>
      <protection/>
    </xf>
    <xf numFmtId="49" fontId="39" fillId="0" borderId="10" xfId="90" applyFont="1" applyBorder="1" applyAlignment="1">
      <alignment horizontal="center" vertical="center"/>
      <protection/>
    </xf>
    <xf numFmtId="49" fontId="38" fillId="0" borderId="12" xfId="90" applyFont="1" applyFill="1" applyBorder="1" applyAlignment="1">
      <alignment horizontal="center" vertical="center"/>
      <protection/>
    </xf>
    <xf numFmtId="49" fontId="38" fillId="0" borderId="10" xfId="90" applyFont="1" applyBorder="1" applyAlignment="1">
      <alignment horizontal="center" vertical="center"/>
      <protection/>
    </xf>
    <xf numFmtId="4" fontId="39" fillId="0" borderId="12" xfId="90" applyNumberFormat="1" applyFont="1" applyFill="1" applyBorder="1" applyAlignment="1">
      <alignment horizontal="center" vertical="center"/>
      <protection/>
    </xf>
    <xf numFmtId="4" fontId="38" fillId="0" borderId="12" xfId="90" applyNumberFormat="1" applyFont="1" applyFill="1" applyBorder="1" applyAlignment="1">
      <alignment horizontal="center" vertical="center"/>
      <protection/>
    </xf>
    <xf numFmtId="2" fontId="38" fillId="0" borderId="12" xfId="90" applyNumberFormat="1" applyFont="1" applyFill="1" applyBorder="1" applyAlignment="1">
      <alignment horizontal="center" vertical="center"/>
      <protection/>
    </xf>
    <xf numFmtId="49" fontId="42" fillId="0" borderId="10" xfId="90" applyFont="1" applyBorder="1" applyAlignment="1">
      <alignment horizontal="center" vertical="center"/>
      <protection/>
    </xf>
    <xf numFmtId="2" fontId="42" fillId="0" borderId="12" xfId="90" applyNumberFormat="1" applyFont="1" applyFill="1" applyBorder="1" applyAlignment="1">
      <alignment horizontal="center" vertical="center"/>
      <protection/>
    </xf>
    <xf numFmtId="49" fontId="39" fillId="0" borderId="24" xfId="90" applyFont="1" applyBorder="1" applyAlignment="1">
      <alignment horizontal="center" vertical="center"/>
      <protection/>
    </xf>
    <xf numFmtId="49" fontId="39" fillId="0" borderId="21" xfId="90" applyFont="1" applyBorder="1" applyAlignment="1">
      <alignment horizontal="left" vertical="center"/>
      <protection/>
    </xf>
    <xf numFmtId="49" fontId="38" fillId="0" borderId="21" xfId="90" applyFont="1" applyBorder="1" applyAlignment="1">
      <alignment horizontal="center" vertical="center"/>
      <protection/>
    </xf>
    <xf numFmtId="49" fontId="38" fillId="0" borderId="21" xfId="90" applyFont="1" applyFill="1" applyBorder="1" applyAlignment="1">
      <alignment horizontal="center" vertical="center"/>
      <protection/>
    </xf>
    <xf numFmtId="10" fontId="38" fillId="0" borderId="21" xfId="90" applyNumberFormat="1" applyFont="1" applyFill="1" applyBorder="1" applyAlignment="1">
      <alignment horizontal="center" vertical="center"/>
      <protection/>
    </xf>
    <xf numFmtId="10" fontId="39" fillId="0" borderId="21" xfId="90" applyNumberFormat="1" applyFont="1" applyFill="1" applyBorder="1" applyAlignment="1">
      <alignment horizontal="center" vertical="center"/>
      <protection/>
    </xf>
    <xf numFmtId="10" fontId="39" fillId="0" borderId="65" xfId="90" applyNumberFormat="1" applyFont="1" applyFill="1" applyBorder="1" applyAlignment="1">
      <alignment horizontal="center" vertical="center"/>
      <protection/>
    </xf>
    <xf numFmtId="49" fontId="38" fillId="0" borderId="11" xfId="90" applyFont="1" applyBorder="1" applyAlignment="1">
      <alignment horizontal="center" vertical="center" wrapText="1"/>
      <protection/>
    </xf>
    <xf numFmtId="49" fontId="38" fillId="0" borderId="13" xfId="90" applyFont="1" applyBorder="1" applyAlignment="1">
      <alignment horizontal="center" vertical="center" wrapText="1"/>
      <protection/>
    </xf>
    <xf numFmtId="49" fontId="39" fillId="0" borderId="11" xfId="90" applyFont="1" applyBorder="1" applyAlignment="1">
      <alignment horizontal="center" vertical="center" wrapText="1"/>
      <protection/>
    </xf>
    <xf numFmtId="49" fontId="38" fillId="0" borderId="12" xfId="90" applyFont="1" applyBorder="1" applyAlignment="1">
      <alignment horizontal="center" vertical="center"/>
      <protection/>
    </xf>
    <xf numFmtId="49" fontId="38" fillId="0" borderId="77" xfId="90" applyFont="1" applyBorder="1" applyAlignment="1">
      <alignment horizontal="center" vertical="center"/>
      <protection/>
    </xf>
    <xf numFmtId="49" fontId="38" fillId="0" borderId="77" xfId="90" applyFont="1" applyFill="1" applyBorder="1" applyAlignment="1">
      <alignment horizontal="center" vertical="center"/>
      <protection/>
    </xf>
    <xf numFmtId="4" fontId="39" fillId="0" borderId="77" xfId="90" applyNumberFormat="1" applyFont="1" applyFill="1" applyBorder="1" applyAlignment="1">
      <alignment horizontal="center" vertical="center"/>
      <protection/>
    </xf>
    <xf numFmtId="2" fontId="38" fillId="0" borderId="77" xfId="90" applyNumberFormat="1" applyFont="1" applyFill="1" applyBorder="1" applyAlignment="1">
      <alignment horizontal="center" vertical="center"/>
      <protection/>
    </xf>
    <xf numFmtId="4" fontId="38" fillId="0" borderId="77" xfId="90" applyNumberFormat="1" applyFont="1" applyFill="1" applyBorder="1" applyAlignment="1">
      <alignment horizontal="center" vertical="center"/>
      <protection/>
    </xf>
    <xf numFmtId="10" fontId="8" fillId="0" borderId="77" xfId="90" applyNumberFormat="1" applyFont="1" applyFill="1" applyBorder="1" applyAlignment="1">
      <alignment horizontal="center" vertical="center" wrapText="1"/>
      <protection/>
    </xf>
    <xf numFmtId="175" fontId="38" fillId="0" borderId="77" xfId="90" applyNumberFormat="1" applyFont="1" applyBorder="1" applyAlignment="1">
      <alignment/>
      <protection/>
    </xf>
    <xf numFmtId="168" fontId="38" fillId="0" borderId="14" xfId="90" applyNumberFormat="1" applyFont="1" applyFill="1" applyBorder="1" applyAlignment="1">
      <alignment horizontal="center" vertical="center"/>
      <protection/>
    </xf>
    <xf numFmtId="1" fontId="60" fillId="45" borderId="14" xfId="100" applyNumberFormat="1" applyFont="1" applyFill="1" applyBorder="1" applyAlignment="1">
      <alignment vertical="center" wrapText="1"/>
      <protection/>
    </xf>
    <xf numFmtId="169" fontId="90" fillId="0" borderId="14" xfId="0" applyNumberFormat="1" applyFont="1" applyFill="1" applyBorder="1" applyAlignment="1">
      <alignment/>
    </xf>
    <xf numFmtId="169" fontId="90" fillId="0" borderId="12" xfId="0" applyNumberFormat="1" applyFont="1" applyFill="1" applyBorder="1" applyAlignment="1">
      <alignment/>
    </xf>
    <xf numFmtId="0" fontId="12" fillId="17" borderId="24" xfId="0" applyFont="1" applyFill="1" applyBorder="1" applyAlignment="1">
      <alignment vertical="center" wrapText="1"/>
    </xf>
    <xf numFmtId="4" fontId="12" fillId="17" borderId="21" xfId="0" applyNumberFormat="1" applyFont="1" applyFill="1" applyBorder="1" applyAlignment="1">
      <alignment horizontal="center" vertical="center"/>
    </xf>
    <xf numFmtId="4" fontId="14" fillId="17" borderId="21" xfId="0" applyNumberFormat="1" applyFont="1" applyFill="1" applyBorder="1" applyAlignment="1">
      <alignment horizontal="center" vertical="center"/>
    </xf>
    <xf numFmtId="0" fontId="12" fillId="17" borderId="65" xfId="0" applyFont="1" applyFill="1" applyBorder="1" applyAlignment="1">
      <alignment vertical="center"/>
    </xf>
    <xf numFmtId="168" fontId="38" fillId="0" borderId="77" xfId="90" applyNumberFormat="1" applyFont="1" applyFill="1" applyBorder="1" applyAlignment="1">
      <alignment horizontal="center" vertical="center"/>
      <protection/>
    </xf>
    <xf numFmtId="187" fontId="38" fillId="0" borderId="10" xfId="90" applyNumberFormat="1" applyFont="1" applyBorder="1" applyAlignment="1">
      <alignment horizontal="center" vertical="center"/>
      <protection/>
    </xf>
    <xf numFmtId="168" fontId="38" fillId="0" borderId="12" xfId="90" applyNumberFormat="1" applyFont="1" applyFill="1" applyBorder="1" applyAlignment="1">
      <alignment horizontal="center" vertical="center"/>
      <protection/>
    </xf>
    <xf numFmtId="49" fontId="38" fillId="0" borderId="24" xfId="90" applyFont="1" applyBorder="1" applyAlignment="1">
      <alignment/>
      <protection/>
    </xf>
    <xf numFmtId="49" fontId="38" fillId="0" borderId="21" xfId="90" applyFont="1" applyBorder="1" applyAlignment="1">
      <alignment/>
      <protection/>
    </xf>
    <xf numFmtId="10" fontId="63" fillId="0" borderId="21" xfId="90" applyNumberFormat="1" applyFont="1" applyBorder="1" applyAlignment="1">
      <alignment horizontal="center"/>
      <protection/>
    </xf>
    <xf numFmtId="168" fontId="38" fillId="0" borderId="21" xfId="90" applyNumberFormat="1" applyFont="1" applyFill="1" applyBorder="1" applyAlignment="1">
      <alignment horizontal="center" vertical="center"/>
      <protection/>
    </xf>
    <xf numFmtId="175" fontId="38" fillId="0" borderId="21" xfId="90" applyNumberFormat="1" applyFont="1" applyBorder="1" applyAlignment="1">
      <alignment/>
      <protection/>
    </xf>
    <xf numFmtId="175" fontId="38" fillId="0" borderId="65" xfId="90" applyNumberFormat="1" applyFont="1" applyBorder="1" applyAlignment="1">
      <alignment/>
      <protection/>
    </xf>
    <xf numFmtId="49" fontId="38" fillId="0" borderId="0" xfId="90" applyFont="1" applyAlignment="1">
      <alignment horizontal="center"/>
      <protection/>
    </xf>
    <xf numFmtId="49" fontId="27" fillId="0" borderId="0" xfId="90" applyFont="1" applyBorder="1" applyAlignment="1">
      <alignment vertical="center"/>
      <protection/>
    </xf>
    <xf numFmtId="3" fontId="53" fillId="0" borderId="14" xfId="92" applyNumberFormat="1" applyFont="1" applyFill="1" applyBorder="1" applyAlignment="1" applyProtection="1">
      <alignment vertical="center" wrapText="1"/>
      <protection locked="0"/>
    </xf>
    <xf numFmtId="169" fontId="51" fillId="0" borderId="14" xfId="92" applyNumberFormat="1" applyFont="1" applyFill="1" applyBorder="1" applyAlignment="1" applyProtection="1">
      <alignment vertical="center" wrapText="1"/>
      <protection locked="0"/>
    </xf>
    <xf numFmtId="4" fontId="53" fillId="0" borderId="14" xfId="92" applyNumberFormat="1" applyFont="1" applyFill="1" applyBorder="1" applyAlignment="1" applyProtection="1">
      <alignment vertical="center" wrapText="1"/>
      <protection locked="0"/>
    </xf>
    <xf numFmtId="4" fontId="25" fillId="0" borderId="14" xfId="92" applyNumberFormat="1" applyFont="1" applyFill="1" applyBorder="1" applyAlignment="1" applyProtection="1">
      <alignment vertical="center" wrapText="1"/>
      <protection locked="0"/>
    </xf>
    <xf numFmtId="4" fontId="52" fillId="0" borderId="14" xfId="0" applyNumberFormat="1" applyFont="1" applyFill="1" applyBorder="1" applyAlignment="1">
      <alignment vertical="center"/>
    </xf>
    <xf numFmtId="0" fontId="50" fillId="0" borderId="62" xfId="87" applyNumberFormat="1" applyFont="1" applyBorder="1" applyAlignment="1">
      <alignment horizontal="left" vertical="top" wrapText="1"/>
      <protection/>
    </xf>
    <xf numFmtId="0" fontId="14" fillId="0" borderId="14" xfId="0" applyFont="1" applyBorder="1" applyAlignment="1">
      <alignment vertical="center" wrapText="1"/>
    </xf>
    <xf numFmtId="0" fontId="11" fillId="0" borderId="14" xfId="0" applyFont="1" applyBorder="1" applyAlignment="1">
      <alignment horizontal="right" vertical="center" wrapText="1"/>
    </xf>
    <xf numFmtId="0" fontId="12" fillId="0" borderId="14" xfId="0" applyFont="1" applyBorder="1" applyAlignment="1">
      <alignment vertical="center" wrapText="1"/>
    </xf>
    <xf numFmtId="0" fontId="12" fillId="0" borderId="14" xfId="0" applyFont="1" applyBorder="1" applyAlignment="1">
      <alignment horizontal="right" vertical="center" wrapText="1"/>
    </xf>
    <xf numFmtId="168" fontId="12" fillId="3" borderId="63" xfId="74" applyNumberFormat="1" applyFont="1" applyFill="1" applyBorder="1" applyAlignment="1" applyProtection="1">
      <alignment horizontal="center" vertical="center" wrapText="1"/>
      <protection/>
    </xf>
    <xf numFmtId="168" fontId="12" fillId="3" borderId="59" xfId="74" applyNumberFormat="1" applyFont="1" applyFill="1" applyBorder="1" applyAlignment="1" applyProtection="1">
      <alignment horizontal="center" vertical="center" wrapText="1"/>
      <protection/>
    </xf>
    <xf numFmtId="0" fontId="14" fillId="0" borderId="14" xfId="91" applyFont="1" applyBorder="1" applyAlignment="1">
      <alignment horizontal="left" vertical="center" wrapText="1"/>
      <protection/>
    </xf>
    <xf numFmtId="168" fontId="14" fillId="3" borderId="14" xfId="74" applyNumberFormat="1" applyFont="1" applyFill="1" applyBorder="1" applyAlignment="1" applyProtection="1">
      <alignment horizontal="center" vertical="center" wrapText="1"/>
      <protection/>
    </xf>
    <xf numFmtId="0" fontId="12" fillId="0" borderId="14" xfId="96" applyNumberFormat="1" applyFont="1" applyBorder="1" applyAlignment="1">
      <alignment horizontal="left" vertical="center" wrapText="1"/>
      <protection/>
    </xf>
    <xf numFmtId="0" fontId="7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right" wrapText="1"/>
    </xf>
    <xf numFmtId="0" fontId="12" fillId="0" borderId="14" xfId="0" applyFont="1" applyBorder="1" applyAlignment="1">
      <alignment wrapText="1"/>
    </xf>
    <xf numFmtId="169" fontId="14" fillId="45" borderId="14" xfId="91" applyNumberFormat="1" applyFont="1" applyFill="1" applyBorder="1" applyAlignment="1">
      <alignment horizontal="center" vertical="center"/>
      <protection/>
    </xf>
    <xf numFmtId="0" fontId="12" fillId="45" borderId="14" xfId="0" applyFont="1" applyFill="1" applyBorder="1" applyAlignment="1">
      <alignment horizontal="center" vertical="center" wrapText="1"/>
    </xf>
    <xf numFmtId="0" fontId="14" fillId="0" borderId="13" xfId="91" applyFont="1" applyBorder="1" applyAlignment="1">
      <alignment horizontal="left" vertical="center" wrapText="1"/>
      <protection/>
    </xf>
    <xf numFmtId="0" fontId="12" fillId="0" borderId="19" xfId="0" applyFont="1" applyBorder="1" applyAlignment="1">
      <alignment horizontal="left" vertical="center" wrapText="1"/>
    </xf>
    <xf numFmtId="169" fontId="14" fillId="45" borderId="24" xfId="91" applyNumberFormat="1" applyFont="1" applyFill="1" applyBorder="1" applyAlignment="1">
      <alignment horizontal="center" vertical="center" wrapText="1"/>
      <protection/>
    </xf>
    <xf numFmtId="169" fontId="14" fillId="45" borderId="21" xfId="91" applyNumberFormat="1" applyFont="1" applyFill="1" applyBorder="1" applyAlignment="1">
      <alignment horizontal="center" vertical="center"/>
      <protection/>
    </xf>
    <xf numFmtId="0" fontId="12" fillId="45" borderId="65" xfId="0" applyFont="1" applyFill="1" applyBorder="1" applyAlignment="1">
      <alignment horizontal="center" vertical="center" wrapText="1"/>
    </xf>
    <xf numFmtId="0" fontId="12" fillId="0" borderId="14" xfId="91" applyFont="1" applyBorder="1" applyAlignment="1">
      <alignment horizontal="left" vertical="center" wrapText="1"/>
      <protection/>
    </xf>
    <xf numFmtId="3" fontId="12" fillId="0" borderId="14" xfId="0" applyNumberFormat="1" applyFont="1" applyBorder="1" applyAlignment="1">
      <alignment/>
    </xf>
    <xf numFmtId="0" fontId="27" fillId="0" borderId="14" xfId="0" applyFont="1" applyFill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1" fillId="0" borderId="14" xfId="0" applyFont="1" applyFill="1" applyBorder="1" applyAlignment="1">
      <alignment horizontal="right" wrapText="1"/>
    </xf>
    <xf numFmtId="0" fontId="50" fillId="0" borderId="75" xfId="95" applyNumberFormat="1" applyFont="1" applyBorder="1" applyAlignment="1">
      <alignment horizontal="left" vertical="top" wrapText="1"/>
      <protection/>
    </xf>
    <xf numFmtId="170" fontId="14" fillId="45" borderId="91" xfId="0" applyNumberFormat="1" applyFont="1" applyFill="1" applyBorder="1" applyAlignment="1">
      <alignment horizontal="center" vertical="center" wrapText="1"/>
    </xf>
    <xf numFmtId="168" fontId="12" fillId="45" borderId="70" xfId="74" applyNumberFormat="1" applyFont="1" applyFill="1" applyBorder="1" applyAlignment="1" applyProtection="1">
      <alignment horizontal="center" vertical="center" wrapText="1"/>
      <protection/>
    </xf>
    <xf numFmtId="0" fontId="12" fillId="45" borderId="71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right" vertical="center"/>
    </xf>
    <xf numFmtId="0" fontId="12" fillId="0" borderId="24" xfId="0" applyFont="1" applyBorder="1" applyAlignment="1">
      <alignment horizontal="right" vertical="center" wrapText="1"/>
    </xf>
    <xf numFmtId="168" fontId="12" fillId="3" borderId="21" xfId="74" applyNumberFormat="1" applyFont="1" applyFill="1" applyBorder="1" applyAlignment="1" applyProtection="1">
      <alignment horizontal="center" vertical="center" wrapText="1"/>
      <protection/>
    </xf>
    <xf numFmtId="0" fontId="12" fillId="0" borderId="65" xfId="0" applyFont="1" applyBorder="1" applyAlignment="1">
      <alignment horizontal="center" vertical="center" wrapText="1"/>
    </xf>
    <xf numFmtId="170" fontId="14" fillId="0" borderId="92" xfId="0" applyNumberFormat="1" applyFont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right" vertical="center" wrapText="1"/>
    </xf>
    <xf numFmtId="0" fontId="12" fillId="0" borderId="14" xfId="80" applyFont="1" applyFill="1" applyBorder="1" applyAlignment="1" applyProtection="1">
      <alignment horizontal="right" vertical="center" wrapText="1"/>
      <protection/>
    </xf>
    <xf numFmtId="0" fontId="12" fillId="0" borderId="14" xfId="0" applyFont="1" applyBorder="1" applyAlignment="1">
      <alignment horizontal="right" wrapText="1"/>
    </xf>
    <xf numFmtId="170" fontId="14" fillId="45" borderId="14" xfId="0" applyNumberFormat="1" applyFont="1" applyFill="1" applyBorder="1" applyAlignment="1">
      <alignment horizontal="center" vertical="center" wrapText="1"/>
    </xf>
    <xf numFmtId="0" fontId="26" fillId="0" borderId="14" xfId="88" applyFont="1" applyBorder="1" applyAlignment="1">
      <alignment horizontal="center" vertical="center" textRotation="90" wrapText="1"/>
      <protection/>
    </xf>
    <xf numFmtId="0" fontId="26" fillId="0" borderId="14" xfId="88" applyFont="1" applyBorder="1" applyAlignment="1">
      <alignment horizontal="center" vertical="center" wrapText="1"/>
      <protection/>
    </xf>
    <xf numFmtId="3" fontId="30" fillId="0" borderId="14" xfId="88" applyNumberFormat="1" applyFont="1" applyBorder="1" applyAlignment="1">
      <alignment horizontal="center" vertical="center" wrapText="1"/>
      <protection/>
    </xf>
    <xf numFmtId="0" fontId="27" fillId="44" borderId="14" xfId="88" applyFont="1" applyFill="1" applyBorder="1" applyAlignment="1">
      <alignment horizontal="left" vertical="center" wrapText="1"/>
      <protection/>
    </xf>
    <xf numFmtId="1" fontId="27" fillId="0" borderId="14" xfId="88" applyNumberFormat="1" applyFont="1" applyBorder="1" applyAlignment="1">
      <alignment horizontal="center" vertical="center" wrapText="1"/>
      <protection/>
    </xf>
    <xf numFmtId="0" fontId="27" fillId="44" borderId="14" xfId="88" applyFont="1" applyFill="1" applyBorder="1" applyAlignment="1">
      <alignment horizontal="center" vertical="center" wrapText="1"/>
      <protection/>
    </xf>
    <xf numFmtId="0" fontId="26" fillId="0" borderId="14" xfId="88" applyFont="1" applyFill="1" applyBorder="1" applyAlignment="1">
      <alignment horizontal="center" vertical="center" wrapText="1"/>
      <protection/>
    </xf>
    <xf numFmtId="0" fontId="27" fillId="0" borderId="14" xfId="88" applyFont="1" applyBorder="1" applyAlignment="1">
      <alignment vertical="center" wrapText="1"/>
      <protection/>
    </xf>
    <xf numFmtId="0" fontId="27" fillId="44" borderId="14" xfId="88" applyFont="1" applyFill="1" applyBorder="1" applyAlignment="1">
      <alignment vertical="center" wrapText="1"/>
      <protection/>
    </xf>
    <xf numFmtId="3" fontId="27" fillId="44" borderId="14" xfId="88" applyNumberFormat="1" applyFont="1" applyFill="1" applyBorder="1" applyAlignment="1">
      <alignment horizontal="center" vertical="center" wrapText="1"/>
      <protection/>
    </xf>
    <xf numFmtId="2" fontId="27" fillId="0" borderId="14" xfId="88" applyNumberFormat="1" applyFont="1" applyBorder="1" applyAlignment="1">
      <alignment horizontal="center" vertical="center" wrapText="1"/>
      <protection/>
    </xf>
    <xf numFmtId="0" fontId="27" fillId="0" borderId="11" xfId="88" applyFont="1" applyBorder="1" applyAlignment="1">
      <alignment horizontal="center" vertical="center" wrapText="1"/>
      <protection/>
    </xf>
    <xf numFmtId="0" fontId="27" fillId="0" borderId="11" xfId="88" applyFont="1" applyBorder="1" applyAlignment="1">
      <alignment horizontal="center" vertical="center" textRotation="90" wrapText="1"/>
      <protection/>
    </xf>
    <xf numFmtId="0" fontId="26" fillId="0" borderId="11" xfId="88" applyFont="1" applyBorder="1" applyAlignment="1">
      <alignment horizontal="center" vertical="center" wrapText="1"/>
      <protection/>
    </xf>
    <xf numFmtId="0" fontId="27" fillId="0" borderId="19" xfId="88" applyFont="1" applyBorder="1" applyAlignment="1">
      <alignment horizontal="center" vertical="center" wrapText="1"/>
      <protection/>
    </xf>
    <xf numFmtId="3" fontId="30" fillId="0" borderId="12" xfId="88" applyNumberFormat="1" applyFont="1" applyBorder="1" applyAlignment="1">
      <alignment horizontal="center" vertical="center" wrapText="1"/>
      <protection/>
    </xf>
    <xf numFmtId="3" fontId="27" fillId="0" borderId="12" xfId="88" applyNumberFormat="1" applyFont="1" applyBorder="1" applyAlignment="1">
      <alignment horizontal="center" vertical="center" wrapText="1"/>
      <protection/>
    </xf>
    <xf numFmtId="0" fontId="24" fillId="44" borderId="21" xfId="88" applyFont="1" applyFill="1" applyBorder="1" applyAlignment="1">
      <alignment horizontal="center" vertical="center" wrapText="1"/>
      <protection/>
    </xf>
    <xf numFmtId="3" fontId="24" fillId="44" borderId="21" xfId="88" applyNumberFormat="1" applyFont="1" applyFill="1" applyBorder="1" applyAlignment="1">
      <alignment horizontal="center" vertical="center" wrapText="1"/>
      <protection/>
    </xf>
    <xf numFmtId="3" fontId="26" fillId="44" borderId="65" xfId="88" applyNumberFormat="1" applyFont="1" applyFill="1" applyBorder="1" applyAlignment="1">
      <alignment horizontal="center" vertical="center" wrapText="1"/>
      <protection/>
    </xf>
    <xf numFmtId="0" fontId="29" fillId="0" borderId="14" xfId="88" applyFont="1" applyBorder="1" applyAlignment="1">
      <alignment horizontal="center" vertical="center" wrapText="1"/>
      <protection/>
    </xf>
    <xf numFmtId="170" fontId="27" fillId="0" borderId="14" xfId="88" applyNumberFormat="1" applyFont="1" applyBorder="1" applyAlignment="1">
      <alignment horizontal="center" vertical="center" wrapText="1"/>
      <protection/>
    </xf>
    <xf numFmtId="3" fontId="27" fillId="50" borderId="14" xfId="88" applyNumberFormat="1" applyFont="1" applyFill="1" applyBorder="1" applyAlignment="1">
      <alignment horizontal="center" vertical="center" wrapText="1"/>
      <protection/>
    </xf>
    <xf numFmtId="0" fontId="92" fillId="0" borderId="0" xfId="88" applyFont="1">
      <alignment/>
      <protection/>
    </xf>
    <xf numFmtId="3" fontId="92" fillId="0" borderId="0" xfId="88" applyNumberFormat="1" applyFont="1">
      <alignment/>
      <protection/>
    </xf>
    <xf numFmtId="4" fontId="92" fillId="0" borderId="0" xfId="88" applyNumberFormat="1" applyFont="1">
      <alignment/>
      <protection/>
    </xf>
    <xf numFmtId="3" fontId="26" fillId="0" borderId="0" xfId="88" applyNumberFormat="1" applyFont="1" applyBorder="1">
      <alignment/>
      <protection/>
    </xf>
    <xf numFmtId="9" fontId="27" fillId="0" borderId="0" xfId="88" applyNumberFormat="1" applyFont="1" applyBorder="1">
      <alignment/>
      <protection/>
    </xf>
    <xf numFmtId="0" fontId="7" fillId="0" borderId="14" xfId="83" applyFont="1" applyBorder="1" applyAlignment="1">
      <alignment horizontal="left" vertical="center" wrapText="1"/>
      <protection/>
    </xf>
    <xf numFmtId="0" fontId="48" fillId="44" borderId="24" xfId="83" applyFont="1" applyFill="1" applyBorder="1" applyAlignment="1">
      <alignment horizontal="left" vertical="center" wrapText="1"/>
      <protection/>
    </xf>
    <xf numFmtId="3" fontId="39" fillId="44" borderId="21" xfId="83" applyNumberFormat="1" applyFont="1" applyFill="1" applyBorder="1" applyAlignment="1">
      <alignment horizontal="center" vertical="center" wrapText="1"/>
      <protection/>
    </xf>
    <xf numFmtId="3" fontId="48" fillId="44" borderId="21" xfId="83" applyNumberFormat="1" applyFont="1" applyFill="1" applyBorder="1" applyAlignment="1">
      <alignment horizontal="center" vertical="center" wrapText="1"/>
      <protection/>
    </xf>
    <xf numFmtId="3" fontId="39" fillId="44" borderId="65" xfId="83" applyNumberFormat="1" applyFont="1" applyFill="1" applyBorder="1" applyAlignment="1">
      <alignment horizontal="center" vertical="center" wrapText="1"/>
      <protection/>
    </xf>
    <xf numFmtId="3" fontId="92" fillId="0" borderId="0" xfId="75" applyNumberFormat="1" applyFont="1">
      <alignment/>
      <protection/>
    </xf>
    <xf numFmtId="0" fontId="1" fillId="0" borderId="0" xfId="88" applyAlignment="1">
      <alignment vertical="center" wrapText="1"/>
      <protection/>
    </xf>
    <xf numFmtId="0" fontId="27" fillId="0" borderId="14" xfId="88" applyFont="1" applyBorder="1" applyAlignment="1">
      <alignment horizontal="center"/>
      <protection/>
    </xf>
    <xf numFmtId="3" fontId="26" fillId="0" borderId="14" xfId="88" applyNumberFormat="1" applyFont="1" applyBorder="1" applyAlignment="1">
      <alignment horizontal="center"/>
      <protection/>
    </xf>
    <xf numFmtId="0" fontId="27" fillId="46" borderId="14" xfId="88" applyFont="1" applyFill="1" applyBorder="1" applyAlignment="1">
      <alignment horizontal="center" vertical="center" wrapText="1"/>
      <protection/>
    </xf>
    <xf numFmtId="0" fontId="26" fillId="0" borderId="13" xfId="88" applyFont="1" applyBorder="1" applyAlignment="1">
      <alignment horizontal="center" vertical="center" wrapText="1"/>
      <protection/>
    </xf>
    <xf numFmtId="0" fontId="26" fillId="0" borderId="11" xfId="88" applyFont="1" applyBorder="1" applyAlignment="1">
      <alignment horizontal="center" vertical="center" textRotation="90" wrapText="1"/>
      <protection/>
    </xf>
    <xf numFmtId="0" fontId="26" fillId="0" borderId="11" xfId="88" applyFont="1" applyFill="1" applyBorder="1" applyAlignment="1">
      <alignment horizontal="center" vertical="center" wrapText="1"/>
      <protection/>
    </xf>
    <xf numFmtId="0" fontId="26" fillId="0" borderId="19" xfId="88" applyFont="1" applyBorder="1" applyAlignment="1">
      <alignment horizontal="center" vertical="center" wrapText="1"/>
      <protection/>
    </xf>
    <xf numFmtId="0" fontId="26" fillId="0" borderId="10" xfId="88" applyFont="1" applyBorder="1" applyAlignment="1">
      <alignment horizontal="center" vertical="center" wrapText="1"/>
      <protection/>
    </xf>
    <xf numFmtId="0" fontId="26" fillId="0" borderId="12" xfId="88" applyFont="1" applyBorder="1" applyAlignment="1">
      <alignment horizontal="center" vertical="center" wrapText="1"/>
      <protection/>
    </xf>
    <xf numFmtId="0" fontId="27" fillId="0" borderId="10" xfId="88" applyFont="1" applyBorder="1" applyAlignment="1">
      <alignment horizontal="center" vertical="center" wrapText="1"/>
      <protection/>
    </xf>
    <xf numFmtId="3" fontId="26" fillId="0" borderId="12" xfId="88" applyNumberFormat="1" applyFont="1" applyBorder="1" applyAlignment="1">
      <alignment horizontal="center"/>
      <protection/>
    </xf>
    <xf numFmtId="0" fontId="26" fillId="44" borderId="24" xfId="88" applyFont="1" applyFill="1" applyBorder="1" applyAlignment="1">
      <alignment horizontal="left" vertical="center" wrapText="1"/>
      <protection/>
    </xf>
    <xf numFmtId="0" fontId="26" fillId="44" borderId="21" xfId="88" applyFont="1" applyFill="1" applyBorder="1" applyAlignment="1">
      <alignment horizontal="left" vertical="center" wrapText="1"/>
      <protection/>
    </xf>
    <xf numFmtId="0" fontId="26" fillId="44" borderId="21" xfId="88" applyFont="1" applyFill="1" applyBorder="1">
      <alignment/>
      <protection/>
    </xf>
    <xf numFmtId="3" fontId="26" fillId="44" borderId="21" xfId="88" applyNumberFormat="1" applyFont="1" applyFill="1" applyBorder="1" applyAlignment="1">
      <alignment horizontal="center" vertical="center" wrapText="1"/>
      <protection/>
    </xf>
    <xf numFmtId="0" fontId="26" fillId="50" borderId="14" xfId="88" applyFont="1" applyFill="1" applyBorder="1" applyAlignment="1">
      <alignment horizontal="center" vertical="center" wrapText="1"/>
      <protection/>
    </xf>
    <xf numFmtId="0" fontId="27" fillId="50" borderId="14" xfId="88" applyFont="1" applyFill="1" applyBorder="1" applyAlignment="1">
      <alignment horizontal="center" vertical="center" wrapText="1"/>
      <protection/>
    </xf>
    <xf numFmtId="169" fontId="26" fillId="0" borderId="14" xfId="88" applyNumberFormat="1" applyFont="1" applyBorder="1" applyAlignment="1">
      <alignment horizontal="center" vertical="center" wrapText="1"/>
      <protection/>
    </xf>
    <xf numFmtId="0" fontId="27" fillId="51" borderId="14" xfId="88" applyFont="1" applyFill="1" applyBorder="1" applyAlignment="1">
      <alignment horizontal="center" vertical="center" wrapText="1"/>
      <protection/>
    </xf>
    <xf numFmtId="1" fontId="26" fillId="0" borderId="14" xfId="88" applyNumberFormat="1" applyFont="1" applyBorder="1" applyAlignment="1">
      <alignment horizontal="center" vertical="center" wrapText="1"/>
      <protection/>
    </xf>
    <xf numFmtId="0" fontId="27" fillId="50" borderId="14" xfId="88" applyFont="1" applyFill="1" applyBorder="1" applyAlignment="1">
      <alignment horizontal="left" vertical="center" wrapText="1"/>
      <protection/>
    </xf>
    <xf numFmtId="0" fontId="27" fillId="0" borderId="10" xfId="88" applyFont="1" applyBorder="1">
      <alignment/>
      <protection/>
    </xf>
    <xf numFmtId="0" fontId="30" fillId="0" borderId="12" xfId="88" applyFont="1" applyBorder="1" applyAlignment="1">
      <alignment horizontal="center" vertical="center" wrapText="1"/>
      <protection/>
    </xf>
    <xf numFmtId="0" fontId="27" fillId="0" borderId="10" xfId="88" applyFont="1" applyBorder="1" applyAlignment="1">
      <alignment horizontal="center"/>
      <protection/>
    </xf>
    <xf numFmtId="0" fontId="26" fillId="44" borderId="10" xfId="88" applyFont="1" applyFill="1" applyBorder="1" applyAlignment="1">
      <alignment horizontal="left" vertical="center" wrapText="1"/>
      <protection/>
    </xf>
    <xf numFmtId="3" fontId="26" fillId="44" borderId="12" xfId="88" applyNumberFormat="1" applyFont="1" applyFill="1" applyBorder="1" applyAlignment="1">
      <alignment horizontal="center" vertical="center" wrapText="1"/>
      <protection/>
    </xf>
    <xf numFmtId="4" fontId="26" fillId="44" borderId="21" xfId="88" applyNumberFormat="1" applyFont="1" applyFill="1" applyBorder="1" applyAlignment="1">
      <alignment horizontal="center" vertical="center" wrapText="1"/>
      <protection/>
    </xf>
    <xf numFmtId="0" fontId="93" fillId="0" borderId="93" xfId="0" applyFont="1" applyBorder="1" applyAlignment="1">
      <alignment horizontal="center" vertical="center" wrapText="1"/>
    </xf>
    <xf numFmtId="0" fontId="93" fillId="0" borderId="11" xfId="0" applyFont="1" applyBorder="1" applyAlignment="1">
      <alignment horizontal="center" vertical="center"/>
    </xf>
    <xf numFmtId="4" fontId="93" fillId="0" borderId="14" xfId="0" applyNumberFormat="1" applyFont="1" applyBorder="1" applyAlignment="1">
      <alignment horizontal="center" vertical="center"/>
    </xf>
    <xf numFmtId="4" fontId="94" fillId="0" borderId="14" xfId="0" applyNumberFormat="1" applyFont="1" applyBorder="1" applyAlignment="1">
      <alignment horizontal="center" vertical="center"/>
    </xf>
    <xf numFmtId="4" fontId="94" fillId="0" borderId="14" xfId="0" applyNumberFormat="1" applyFont="1" applyBorder="1" applyAlignment="1">
      <alignment horizontal="center"/>
    </xf>
    <xf numFmtId="4" fontId="93" fillId="0" borderId="14" xfId="0" applyNumberFormat="1" applyFont="1" applyBorder="1" applyAlignment="1">
      <alignment horizontal="center"/>
    </xf>
    <xf numFmtId="4" fontId="95" fillId="0" borderId="14" xfId="0" applyNumberFormat="1" applyFont="1" applyBorder="1" applyAlignment="1">
      <alignment horizontal="center" vertical="center"/>
    </xf>
    <xf numFmtId="4" fontId="93" fillId="45" borderId="21" xfId="91" applyNumberFormat="1" applyFont="1" applyFill="1" applyBorder="1" applyAlignment="1">
      <alignment horizontal="center" vertical="center"/>
      <protection/>
    </xf>
    <xf numFmtId="0" fontId="93" fillId="0" borderId="0" xfId="0" applyFont="1" applyAlignment="1">
      <alignment/>
    </xf>
    <xf numFmtId="0" fontId="93" fillId="0" borderId="14" xfId="0" applyFont="1" applyBorder="1" applyAlignment="1">
      <alignment horizontal="center" vertical="center" wrapText="1"/>
    </xf>
    <xf numFmtId="4" fontId="93" fillId="0" borderId="14" xfId="0" applyNumberFormat="1" applyFont="1" applyBorder="1" applyAlignment="1">
      <alignment horizontal="center" vertical="center" wrapText="1"/>
    </xf>
    <xf numFmtId="169" fontId="93" fillId="0" borderId="14" xfId="0" applyNumberFormat="1" applyFont="1" applyBorder="1" applyAlignment="1">
      <alignment horizontal="center" vertical="center"/>
    </xf>
    <xf numFmtId="169" fontId="94" fillId="0" borderId="14" xfId="0" applyNumberFormat="1" applyFont="1" applyBorder="1" applyAlignment="1">
      <alignment horizontal="center" vertical="center"/>
    </xf>
    <xf numFmtId="169" fontId="96" fillId="0" borderId="14" xfId="0" applyNumberFormat="1" applyFont="1" applyBorder="1" applyAlignment="1">
      <alignment horizontal="center" vertical="center"/>
    </xf>
    <xf numFmtId="4" fontId="94" fillId="0" borderId="14" xfId="0" applyNumberFormat="1" applyFont="1" applyFill="1" applyBorder="1" applyAlignment="1">
      <alignment horizontal="center" vertical="center"/>
    </xf>
    <xf numFmtId="4" fontId="93" fillId="0" borderId="14" xfId="0" applyNumberFormat="1" applyFont="1" applyFill="1" applyBorder="1" applyAlignment="1">
      <alignment horizontal="center" vertical="center"/>
    </xf>
    <xf numFmtId="4" fontId="93" fillId="45" borderId="14" xfId="91" applyNumberFormat="1" applyFont="1" applyFill="1" applyBorder="1" applyAlignment="1">
      <alignment horizontal="center" vertical="center"/>
      <protection/>
    </xf>
    <xf numFmtId="0" fontId="97" fillId="0" borderId="0" xfId="91" applyFont="1" applyBorder="1" applyAlignment="1">
      <alignment horizontal="left" vertical="center" wrapText="1"/>
      <protection/>
    </xf>
    <xf numFmtId="4" fontId="93" fillId="0" borderId="14" xfId="0" applyNumberFormat="1" applyFont="1" applyFill="1" applyBorder="1" applyAlignment="1">
      <alignment horizontal="center" vertical="center" wrapText="1"/>
    </xf>
    <xf numFmtId="4" fontId="93" fillId="0" borderId="21" xfId="0" applyNumberFormat="1" applyFont="1" applyBorder="1" applyAlignment="1">
      <alignment horizontal="center" vertical="center" wrapText="1"/>
    </xf>
    <xf numFmtId="169" fontId="93" fillId="45" borderId="70" xfId="91" applyNumberFormat="1" applyFont="1" applyFill="1" applyBorder="1" applyAlignment="1">
      <alignment horizontal="center" vertical="center"/>
      <protection/>
    </xf>
    <xf numFmtId="171" fontId="93" fillId="45" borderId="94" xfId="91" applyNumberFormat="1" applyFont="1" applyFill="1" applyBorder="1" applyAlignment="1">
      <alignment horizontal="center" vertical="center"/>
      <protection/>
    </xf>
    <xf numFmtId="0" fontId="94" fillId="0" borderId="95" xfId="0" applyFont="1" applyBorder="1" applyAlignment="1">
      <alignment horizontal="center" vertical="center" wrapText="1"/>
    </xf>
    <xf numFmtId="0" fontId="94" fillId="0" borderId="85" xfId="0" applyFont="1" applyBorder="1" applyAlignment="1">
      <alignment horizontal="center" vertical="center" wrapText="1"/>
    </xf>
    <xf numFmtId="0" fontId="94" fillId="0" borderId="96" xfId="0" applyFont="1" applyBorder="1" applyAlignment="1">
      <alignment horizontal="center" vertical="center" wrapText="1"/>
    </xf>
    <xf numFmtId="169" fontId="93" fillId="0" borderId="97" xfId="91" applyNumberFormat="1" applyFont="1" applyFill="1" applyBorder="1" applyAlignment="1">
      <alignment horizontal="center"/>
      <protection/>
    </xf>
    <xf numFmtId="169" fontId="94" fillId="0" borderId="81" xfId="0" applyNumberFormat="1" applyFont="1" applyBorder="1" applyAlignment="1">
      <alignment horizontal="center"/>
    </xf>
    <xf numFmtId="169" fontId="93" fillId="0" borderId="81" xfId="0" applyNumberFormat="1" applyFont="1" applyBorder="1" applyAlignment="1">
      <alignment horizontal="center"/>
    </xf>
    <xf numFmtId="4" fontId="93" fillId="0" borderId="81" xfId="0" applyNumberFormat="1" applyFont="1" applyBorder="1" applyAlignment="1">
      <alignment horizontal="center"/>
    </xf>
    <xf numFmtId="169" fontId="93" fillId="0" borderId="81" xfId="0" applyNumberFormat="1" applyFont="1" applyBorder="1" applyAlignment="1">
      <alignment horizontal="center" wrapText="1"/>
    </xf>
    <xf numFmtId="4" fontId="93" fillId="0" borderId="81" xfId="0" applyNumberFormat="1" applyFont="1" applyBorder="1" applyAlignment="1">
      <alignment horizontal="center" wrapText="1"/>
    </xf>
    <xf numFmtId="169" fontId="94" fillId="0" borderId="98" xfId="0" applyNumberFormat="1" applyFont="1" applyBorder="1" applyAlignment="1">
      <alignment horizontal="center"/>
    </xf>
    <xf numFmtId="4" fontId="94" fillId="0" borderId="0" xfId="0" applyNumberFormat="1" applyFont="1" applyAlignment="1">
      <alignment/>
    </xf>
    <xf numFmtId="0" fontId="94" fillId="0" borderId="0" xfId="0" applyFont="1" applyAlignment="1">
      <alignment/>
    </xf>
    <xf numFmtId="0" fontId="94" fillId="0" borderId="14" xfId="0" applyFont="1" applyBorder="1" applyAlignment="1">
      <alignment horizontal="center" wrapText="1"/>
    </xf>
    <xf numFmtId="0" fontId="93" fillId="0" borderId="14" xfId="0" applyFont="1" applyBorder="1" applyAlignment="1">
      <alignment horizontal="center" wrapText="1"/>
    </xf>
    <xf numFmtId="3" fontId="94" fillId="0" borderId="14" xfId="0" applyNumberFormat="1" applyFont="1" applyBorder="1" applyAlignment="1">
      <alignment horizontal="center"/>
    </xf>
    <xf numFmtId="10" fontId="94" fillId="0" borderId="14" xfId="105" applyNumberFormat="1" applyFont="1" applyBorder="1" applyAlignment="1">
      <alignment horizontal="center"/>
    </xf>
    <xf numFmtId="3" fontId="94" fillId="0" borderId="14" xfId="105" applyNumberFormat="1" applyFont="1" applyBorder="1" applyAlignment="1">
      <alignment horizontal="center"/>
    </xf>
    <xf numFmtId="168" fontId="94" fillId="0" borderId="14" xfId="105" applyNumberFormat="1" applyFont="1" applyBorder="1" applyAlignment="1">
      <alignment horizontal="center"/>
    </xf>
    <xf numFmtId="172" fontId="94" fillId="0" borderId="0" xfId="0" applyNumberFormat="1" applyFont="1" applyAlignment="1">
      <alignment/>
    </xf>
    <xf numFmtId="3" fontId="94" fillId="0" borderId="0" xfId="105" applyNumberFormat="1" applyFont="1" applyBorder="1" applyAlignment="1">
      <alignment horizontal="center"/>
    </xf>
    <xf numFmtId="168" fontId="94" fillId="0" borderId="0" xfId="105" applyNumberFormat="1" applyFont="1" applyBorder="1" applyAlignment="1">
      <alignment horizontal="center"/>
    </xf>
    <xf numFmtId="4" fontId="99" fillId="0" borderId="0" xfId="0" applyNumberFormat="1" applyFont="1" applyAlignment="1">
      <alignment/>
    </xf>
    <xf numFmtId="49" fontId="26" fillId="0" borderId="14" xfId="90" applyFont="1" applyBorder="1" applyAlignment="1">
      <alignment horizontal="left" vertical="center"/>
      <protection/>
    </xf>
    <xf numFmtId="49" fontId="26" fillId="0" borderId="14" xfId="90" applyFont="1" applyBorder="1" applyAlignment="1">
      <alignment horizontal="left" vertical="center" wrapText="1"/>
      <protection/>
    </xf>
    <xf numFmtId="49" fontId="27" fillId="0" borderId="14" xfId="90" applyFont="1" applyBorder="1" applyAlignment="1">
      <alignment horizontal="left" vertical="center"/>
      <protection/>
    </xf>
    <xf numFmtId="49" fontId="27" fillId="44" borderId="14" xfId="90" applyFont="1" applyFill="1" applyBorder="1" applyAlignment="1">
      <alignment horizontal="left" vertical="center"/>
      <protection/>
    </xf>
    <xf numFmtId="49" fontId="27" fillId="0" borderId="14" xfId="90" applyFont="1" applyBorder="1" applyAlignment="1">
      <alignment horizontal="left" vertical="center" wrapText="1"/>
      <protection/>
    </xf>
    <xf numFmtId="49" fontId="27" fillId="0" borderId="14" xfId="90" applyFont="1" applyBorder="1" applyAlignment="1">
      <alignment horizontal="right" vertical="center"/>
      <protection/>
    </xf>
    <xf numFmtId="49" fontId="26" fillId="0" borderId="21" xfId="90" applyFont="1" applyBorder="1" applyAlignment="1">
      <alignment horizontal="left" vertical="center" wrapText="1"/>
      <protection/>
    </xf>
    <xf numFmtId="170" fontId="24" fillId="44" borderId="21" xfId="88" applyNumberFormat="1" applyFont="1" applyFill="1" applyBorder="1" applyAlignment="1">
      <alignment horizontal="center" vertical="center" wrapText="1"/>
      <protection/>
    </xf>
    <xf numFmtId="1" fontId="24" fillId="44" borderId="21" xfId="88" applyNumberFormat="1" applyFont="1" applyFill="1" applyBorder="1" applyAlignment="1">
      <alignment horizontal="center" vertical="center" wrapText="1"/>
      <protection/>
    </xf>
    <xf numFmtId="2" fontId="24" fillId="44" borderId="21" xfId="88" applyNumberFormat="1" applyFont="1" applyFill="1" applyBorder="1" applyAlignment="1">
      <alignment horizontal="center" vertical="center" wrapText="1"/>
      <protection/>
    </xf>
    <xf numFmtId="0" fontId="27" fillId="0" borderId="0" xfId="0" applyFont="1" applyFill="1" applyBorder="1" applyAlignment="1">
      <alignment horizontal="right"/>
    </xf>
    <xf numFmtId="0" fontId="27" fillId="0" borderId="14" xfId="88" applyFont="1" applyBorder="1" applyAlignment="1">
      <alignment horizontal="center" wrapText="1"/>
      <protection/>
    </xf>
    <xf numFmtId="9" fontId="1" fillId="0" borderId="14" xfId="105" applyFont="1" applyBorder="1" applyAlignment="1">
      <alignment/>
    </xf>
    <xf numFmtId="169" fontId="27" fillId="0" borderId="14" xfId="88" applyNumberFormat="1" applyFont="1" applyBorder="1">
      <alignment/>
      <protection/>
    </xf>
    <xf numFmtId="3" fontId="27" fillId="0" borderId="14" xfId="88" applyNumberFormat="1" applyFont="1" applyBorder="1">
      <alignment/>
      <protection/>
    </xf>
    <xf numFmtId="9" fontId="0" fillId="0" borderId="14" xfId="107" applyBorder="1" applyAlignment="1">
      <alignment/>
    </xf>
    <xf numFmtId="4" fontId="27" fillId="0" borderId="14" xfId="88" applyNumberFormat="1" applyFont="1" applyBorder="1">
      <alignment/>
      <protection/>
    </xf>
    <xf numFmtId="0" fontId="91" fillId="0" borderId="0" xfId="88" applyFont="1" applyFill="1" applyBorder="1" applyAlignment="1">
      <alignment vertical="center" wrapText="1"/>
      <protection/>
    </xf>
    <xf numFmtId="0" fontId="1" fillId="0" borderId="0" xfId="88" applyAlignment="1">
      <alignment vertical="center"/>
      <protection/>
    </xf>
    <xf numFmtId="169" fontId="27" fillId="0" borderId="12" xfId="88" applyNumberFormat="1" applyFont="1" applyBorder="1" applyAlignment="1">
      <alignment horizontal="center" vertical="center" wrapText="1"/>
      <protection/>
    </xf>
    <xf numFmtId="169" fontId="26" fillId="44" borderId="21" xfId="88" applyNumberFormat="1" applyFont="1" applyFill="1" applyBorder="1" applyAlignment="1">
      <alignment horizontal="center" vertical="center" wrapText="1"/>
      <protection/>
    </xf>
    <xf numFmtId="3" fontId="24" fillId="44" borderId="65" xfId="88" applyNumberFormat="1" applyFont="1" applyFill="1" applyBorder="1" applyAlignment="1">
      <alignment horizontal="center" vertical="center" wrapText="1"/>
      <protection/>
    </xf>
    <xf numFmtId="0" fontId="91" fillId="0" borderId="0" xfId="75" applyFont="1" applyAlignment="1">
      <alignment/>
      <protection/>
    </xf>
    <xf numFmtId="0" fontId="1" fillId="0" borderId="27" xfId="75" applyBorder="1">
      <alignment/>
      <protection/>
    </xf>
    <xf numFmtId="175" fontId="26" fillId="0" borderId="99" xfId="75" applyNumberFormat="1" applyFont="1" applyBorder="1" applyAlignment="1">
      <alignment vertical="center"/>
      <protection/>
    </xf>
    <xf numFmtId="0" fontId="14" fillId="0" borderId="57" xfId="83" applyFont="1" applyBorder="1" applyAlignment="1">
      <alignment horizontal="center" vertical="center" wrapText="1"/>
      <protection/>
    </xf>
    <xf numFmtId="0" fontId="14" fillId="0" borderId="54" xfId="83" applyFont="1" applyBorder="1" applyAlignment="1">
      <alignment horizontal="center" vertical="center" wrapText="1"/>
      <protection/>
    </xf>
    <xf numFmtId="0" fontId="14" fillId="0" borderId="54" xfId="83" applyFont="1" applyFill="1" applyBorder="1" applyAlignment="1">
      <alignment horizontal="center" vertical="center" wrapText="1"/>
      <protection/>
    </xf>
    <xf numFmtId="0" fontId="6" fillId="0" borderId="54" xfId="83" applyFont="1" applyBorder="1" applyAlignment="1">
      <alignment horizontal="center" vertical="center" wrapText="1"/>
      <protection/>
    </xf>
    <xf numFmtId="0" fontId="14" fillId="0" borderId="100" xfId="83" applyFont="1" applyFill="1" applyBorder="1" applyAlignment="1">
      <alignment horizontal="center" vertical="center" wrapText="1"/>
      <protection/>
    </xf>
    <xf numFmtId="0" fontId="27" fillId="0" borderId="0" xfId="75" applyFont="1">
      <alignment/>
      <protection/>
    </xf>
    <xf numFmtId="0" fontId="14" fillId="0" borderId="12" xfId="83" applyFont="1" applyFill="1" applyBorder="1" applyAlignment="1">
      <alignment horizontal="center" vertical="center" wrapText="1"/>
      <protection/>
    </xf>
    <xf numFmtId="3" fontId="7" fillId="0" borderId="12" xfId="83" applyNumberFormat="1" applyFont="1" applyBorder="1" applyAlignment="1">
      <alignment horizontal="center"/>
      <protection/>
    </xf>
    <xf numFmtId="0" fontId="7" fillId="0" borderId="12" xfId="75" applyFont="1" applyBorder="1">
      <alignment/>
      <protection/>
    </xf>
    <xf numFmtId="3" fontId="39" fillId="45" borderId="65" xfId="75" applyNumberFormat="1" applyFont="1" applyFill="1" applyBorder="1" applyAlignment="1">
      <alignment horizontal="center"/>
      <protection/>
    </xf>
    <xf numFmtId="0" fontId="26" fillId="0" borderId="101" xfId="88" applyFont="1" applyBorder="1" applyAlignment="1">
      <alignment horizontal="center" vertical="center" wrapText="1"/>
      <protection/>
    </xf>
    <xf numFmtId="0" fontId="1" fillId="0" borderId="102" xfId="75" applyBorder="1">
      <alignment/>
      <protection/>
    </xf>
    <xf numFmtId="0" fontId="35" fillId="0" borderId="14" xfId="78" applyNumberFormat="1" applyFont="1" applyFill="1" applyBorder="1" applyAlignment="1">
      <alignment horizontal="left" vertical="center" wrapText="1"/>
      <protection/>
    </xf>
    <xf numFmtId="201" fontId="0" fillId="0" borderId="81" xfId="78" applyNumberFormat="1" applyFont="1" applyFill="1" applyBorder="1" applyAlignment="1">
      <alignment horizontal="right" vertical="top" wrapText="1"/>
      <protection/>
    </xf>
    <xf numFmtId="203" fontId="0" fillId="0" borderId="14" xfId="78" applyNumberFormat="1" applyFont="1" applyFill="1" applyBorder="1" applyAlignment="1">
      <alignment horizontal="right" vertical="top" wrapText="1"/>
      <protection/>
    </xf>
    <xf numFmtId="0" fontId="0" fillId="0" borderId="14" xfId="78" applyNumberFormat="1" applyFont="1" applyFill="1" applyBorder="1" applyAlignment="1">
      <alignment horizontal="right" vertical="top" wrapText="1"/>
      <protection/>
    </xf>
    <xf numFmtId="203" fontId="0" fillId="0" borderId="81" xfId="78" applyNumberFormat="1" applyFont="1" applyFill="1" applyBorder="1" applyAlignment="1">
      <alignment horizontal="right" vertical="top" wrapText="1"/>
      <protection/>
    </xf>
    <xf numFmtId="0" fontId="0" fillId="0" borderId="81" xfId="78" applyNumberFormat="1" applyFont="1" applyFill="1" applyBorder="1" applyAlignment="1">
      <alignment horizontal="right" vertical="top" wrapText="1"/>
      <protection/>
    </xf>
    <xf numFmtId="201" fontId="50" fillId="0" borderId="26" xfId="78" applyNumberFormat="1" applyFont="1" applyFill="1" applyBorder="1" applyAlignment="1">
      <alignment horizontal="right" vertical="top" wrapText="1"/>
      <protection/>
    </xf>
    <xf numFmtId="0" fontId="50" fillId="0" borderId="26" xfId="78" applyNumberFormat="1" applyFont="1" applyFill="1" applyBorder="1" applyAlignment="1">
      <alignment horizontal="right" vertical="top" wrapText="1"/>
      <protection/>
    </xf>
    <xf numFmtId="201" fontId="50" fillId="0" borderId="98" xfId="78" applyNumberFormat="1" applyFont="1" applyFill="1" applyBorder="1" applyAlignment="1">
      <alignment horizontal="right" vertical="top" wrapText="1"/>
      <protection/>
    </xf>
    <xf numFmtId="201" fontId="50" fillId="0" borderId="25" xfId="78" applyNumberFormat="1" applyFont="1" applyFill="1" applyBorder="1" applyAlignment="1">
      <alignment horizontal="right" vertical="top" wrapText="1"/>
      <protection/>
    </xf>
    <xf numFmtId="201" fontId="50" fillId="0" borderId="18" xfId="78" applyNumberFormat="1" applyFont="1" applyFill="1" applyBorder="1" applyAlignment="1">
      <alignment horizontal="right" vertical="top" wrapText="1"/>
      <protection/>
    </xf>
    <xf numFmtId="201" fontId="35" fillId="0" borderId="54" xfId="78" applyNumberFormat="1" applyFont="1" applyFill="1" applyBorder="1" applyAlignment="1">
      <alignment horizontal="right" vertical="top" wrapText="1"/>
      <protection/>
    </xf>
    <xf numFmtId="0" fontId="35" fillId="0" borderId="54" xfId="78" applyNumberFormat="1" applyFont="1" applyFill="1" applyBorder="1" applyAlignment="1">
      <alignment horizontal="right" vertical="top" wrapText="1"/>
      <protection/>
    </xf>
    <xf numFmtId="201" fontId="35" fillId="0" borderId="100" xfId="78" applyNumberFormat="1" applyFont="1" applyFill="1" applyBorder="1" applyAlignment="1">
      <alignment horizontal="right" vertical="top" wrapText="1"/>
      <protection/>
    </xf>
    <xf numFmtId="201" fontId="35" fillId="0" borderId="57" xfId="78" applyNumberFormat="1" applyFont="1" applyFill="1" applyBorder="1" applyAlignment="1">
      <alignment horizontal="right" vertical="top" wrapText="1"/>
      <protection/>
    </xf>
    <xf numFmtId="201" fontId="35" fillId="0" borderId="58" xfId="78" applyNumberFormat="1" applyFont="1" applyFill="1" applyBorder="1" applyAlignment="1">
      <alignment horizontal="right" vertical="top" wrapText="1"/>
      <protection/>
    </xf>
    <xf numFmtId="201" fontId="35" fillId="0" borderId="103" xfId="78" applyNumberFormat="1" applyFont="1" applyFill="1" applyBorder="1" applyAlignment="1">
      <alignment horizontal="right" vertical="top" wrapText="1"/>
      <protection/>
    </xf>
    <xf numFmtId="201" fontId="35" fillId="0" borderId="95" xfId="78" applyNumberFormat="1" applyFont="1" applyFill="1" applyBorder="1" applyAlignment="1">
      <alignment horizontal="right" vertical="top" wrapText="1"/>
      <protection/>
    </xf>
    <xf numFmtId="201" fontId="35" fillId="0" borderId="17" xfId="78" applyNumberFormat="1" applyFont="1" applyFill="1" applyBorder="1" applyAlignment="1">
      <alignment horizontal="right" vertical="top" wrapText="1"/>
      <protection/>
    </xf>
    <xf numFmtId="201" fontId="35" fillId="0" borderId="14" xfId="78" applyNumberFormat="1" applyFont="1" applyFill="1" applyBorder="1" applyAlignment="1">
      <alignment horizontal="right" vertical="top" wrapText="1"/>
      <protection/>
    </xf>
    <xf numFmtId="0" fontId="83" fillId="0" borderId="14" xfId="78" applyFont="1" applyFill="1" applyBorder="1" applyAlignment="1">
      <alignment horizontal="left"/>
      <protection/>
    </xf>
    <xf numFmtId="190" fontId="35" fillId="0" borderId="14" xfId="78" applyNumberFormat="1" applyFont="1" applyFill="1" applyBorder="1" applyAlignment="1">
      <alignment horizontal="right" vertical="top" wrapText="1"/>
      <protection/>
    </xf>
    <xf numFmtId="190" fontId="50" fillId="0" borderId="14" xfId="78" applyNumberFormat="1" applyFont="1" applyFill="1" applyBorder="1" applyAlignment="1">
      <alignment horizontal="right" vertical="top" wrapText="1"/>
      <protection/>
    </xf>
    <xf numFmtId="0" fontId="78" fillId="0" borderId="0" xfId="78" applyFont="1" applyAlignment="1">
      <alignment vertical="center"/>
      <protection/>
    </xf>
    <xf numFmtId="0" fontId="64" fillId="0" borderId="0" xfId="78" applyFont="1" applyAlignment="1">
      <alignment horizontal="center" vertical="center"/>
      <protection/>
    </xf>
    <xf numFmtId="201" fontId="80" fillId="17" borderId="104" xfId="78" applyNumberFormat="1" applyFont="1" applyFill="1" applyBorder="1" applyAlignment="1">
      <alignment horizontal="right" vertical="top" wrapText="1"/>
      <protection/>
    </xf>
    <xf numFmtId="201" fontId="78" fillId="0" borderId="0" xfId="78" applyNumberFormat="1" applyFont="1" applyAlignment="1">
      <alignment vertical="center"/>
      <protection/>
    </xf>
    <xf numFmtId="2" fontId="78" fillId="0" borderId="0" xfId="78" applyNumberFormat="1" applyFont="1" applyAlignment="1">
      <alignment vertical="center"/>
      <protection/>
    </xf>
    <xf numFmtId="4" fontId="55" fillId="3" borderId="105" xfId="76" applyNumberFormat="1" applyFont="1" applyFill="1" applyBorder="1" applyAlignment="1">
      <alignment horizontal="right" vertical="top" wrapText="1"/>
      <protection/>
    </xf>
    <xf numFmtId="0" fontId="13" fillId="0" borderId="0" xfId="78" applyBorder="1">
      <alignment/>
      <protection/>
    </xf>
    <xf numFmtId="201" fontId="35" fillId="45" borderId="14" xfId="78" applyNumberFormat="1" applyFont="1" applyFill="1" applyBorder="1" applyAlignment="1">
      <alignment horizontal="right" vertical="top" wrapText="1"/>
      <protection/>
    </xf>
    <xf numFmtId="0" fontId="13" fillId="45" borderId="14" xfId="78" applyFont="1" applyFill="1" applyBorder="1" applyAlignment="1">
      <alignment/>
      <protection/>
    </xf>
    <xf numFmtId="0" fontId="13" fillId="0" borderId="14" xfId="78" applyFill="1" applyBorder="1" applyAlignment="1">
      <alignment horizontal="left"/>
      <protection/>
    </xf>
    <xf numFmtId="201" fontId="76" fillId="49" borderId="14" xfId="78" applyNumberFormat="1" applyFont="1" applyFill="1" applyBorder="1" applyAlignment="1">
      <alignment horizontal="right" vertical="top" wrapText="1"/>
      <protection/>
    </xf>
    <xf numFmtId="0" fontId="13" fillId="49" borderId="14" xfId="78" applyFill="1" applyBorder="1" applyAlignment="1">
      <alignment/>
      <protection/>
    </xf>
    <xf numFmtId="0" fontId="13" fillId="0" borderId="13" xfId="78" applyBorder="1" applyAlignment="1">
      <alignment horizontal="left"/>
      <protection/>
    </xf>
    <xf numFmtId="0" fontId="13" fillId="0" borderId="11" xfId="78" applyBorder="1" applyAlignment="1">
      <alignment horizontal="left"/>
      <protection/>
    </xf>
    <xf numFmtId="0" fontId="78" fillId="0" borderId="11" xfId="78" applyFont="1" applyBorder="1" applyAlignment="1">
      <alignment horizontal="left"/>
      <protection/>
    </xf>
    <xf numFmtId="49" fontId="38" fillId="0" borderId="11" xfId="78" applyNumberFormat="1" applyFont="1" applyBorder="1" applyAlignment="1">
      <alignment horizontal="center" vertical="center" wrapText="1"/>
      <protection/>
    </xf>
    <xf numFmtId="49" fontId="38" fillId="17" borderId="19" xfId="78" applyNumberFormat="1" applyFont="1" applyFill="1" applyBorder="1" applyAlignment="1">
      <alignment horizontal="center" vertical="center" wrapText="1"/>
      <protection/>
    </xf>
    <xf numFmtId="0" fontId="0" fillId="17" borderId="24" xfId="78" applyFont="1" applyFill="1" applyBorder="1" applyAlignment="1">
      <alignment horizontal="center" vertical="center"/>
      <protection/>
    </xf>
    <xf numFmtId="0" fontId="81" fillId="17" borderId="21" xfId="78" applyNumberFormat="1" applyFont="1" applyFill="1" applyBorder="1" applyAlignment="1">
      <alignment vertical="top" wrapText="1"/>
      <protection/>
    </xf>
    <xf numFmtId="201" fontId="35" fillId="17" borderId="21" xfId="78" applyNumberFormat="1" applyFont="1" applyFill="1" applyBorder="1" applyAlignment="1">
      <alignment horizontal="right" vertical="top" wrapText="1"/>
      <protection/>
    </xf>
    <xf numFmtId="201" fontId="35" fillId="17" borderId="65" xfId="78" applyNumberFormat="1" applyFont="1" applyFill="1" applyBorder="1" applyAlignment="1">
      <alignment horizontal="right" vertical="top" wrapText="1"/>
      <protection/>
    </xf>
    <xf numFmtId="0" fontId="35" fillId="0" borderId="14" xfId="78" applyFont="1" applyBorder="1" applyAlignment="1">
      <alignment vertical="center"/>
      <protection/>
    </xf>
    <xf numFmtId="0" fontId="13" fillId="0" borderId="14" xfId="78" applyBorder="1" applyAlignment="1">
      <alignment horizontal="left" vertical="center" wrapText="1"/>
      <protection/>
    </xf>
    <xf numFmtId="0" fontId="50" fillId="0" borderId="14" xfId="78" applyNumberFormat="1" applyFont="1" applyFill="1" applyBorder="1" applyAlignment="1">
      <alignment horizontal="left" vertical="top" wrapText="1"/>
      <protection/>
    </xf>
    <xf numFmtId="0" fontId="35" fillId="49" borderId="14" xfId="78" applyNumberFormat="1" applyFont="1" applyFill="1" applyBorder="1" applyAlignment="1">
      <alignment horizontal="left" vertical="top" wrapText="1"/>
      <protection/>
    </xf>
    <xf numFmtId="201" fontId="35" fillId="49" borderId="14" xfId="78" applyNumberFormat="1" applyFont="1" applyFill="1" applyBorder="1" applyAlignment="1">
      <alignment horizontal="right" vertical="top" wrapText="1"/>
      <protection/>
    </xf>
    <xf numFmtId="0" fontId="13" fillId="49" borderId="14" xfId="78" applyFont="1" applyFill="1" applyBorder="1" applyAlignment="1">
      <alignment/>
      <protection/>
    </xf>
    <xf numFmtId="0" fontId="13" fillId="0" borderId="14" xfId="78" applyFont="1" applyBorder="1" applyAlignment="1">
      <alignment horizontal="center" vertical="center" wrapText="1"/>
      <protection/>
    </xf>
    <xf numFmtId="0" fontId="35" fillId="45" borderId="14" xfId="78" applyNumberFormat="1" applyFont="1" applyFill="1" applyBorder="1" applyAlignment="1">
      <alignment horizontal="left" vertical="top" wrapText="1"/>
      <protection/>
    </xf>
    <xf numFmtId="201" fontId="35" fillId="45" borderId="14" xfId="78" applyNumberFormat="1" applyFont="1" applyFill="1" applyBorder="1" applyAlignment="1">
      <alignment horizontal="right" vertical="top" wrapText="1"/>
      <protection/>
    </xf>
    <xf numFmtId="0" fontId="13" fillId="45" borderId="14" xfId="78" applyFont="1" applyFill="1" applyBorder="1" applyAlignment="1">
      <alignment/>
      <protection/>
    </xf>
    <xf numFmtId="201" fontId="75" fillId="0" borderId="20" xfId="78" applyNumberFormat="1" applyFont="1" applyFill="1" applyBorder="1" applyAlignment="1">
      <alignment horizontal="right" vertical="top" wrapText="1"/>
      <protection/>
    </xf>
    <xf numFmtId="190" fontId="75" fillId="0" borderId="20" xfId="78" applyNumberFormat="1" applyFont="1" applyFill="1" applyBorder="1" applyAlignment="1">
      <alignment horizontal="right" vertical="top" wrapText="1"/>
      <protection/>
    </xf>
    <xf numFmtId="0" fontId="13" fillId="0" borderId="20" xfId="78" applyBorder="1">
      <alignment/>
      <protection/>
    </xf>
    <xf numFmtId="201" fontId="0" fillId="0" borderId="12" xfId="78" applyNumberFormat="1" applyFont="1" applyFill="1" applyBorder="1" applyAlignment="1">
      <alignment horizontal="right" vertical="top" wrapText="1"/>
      <protection/>
    </xf>
    <xf numFmtId="201" fontId="35" fillId="45" borderId="12" xfId="78" applyNumberFormat="1" applyFont="1" applyFill="1" applyBorder="1" applyAlignment="1">
      <alignment horizontal="right" vertical="top" wrapText="1"/>
      <protection/>
    </xf>
    <xf numFmtId="0" fontId="13" fillId="0" borderId="21" xfId="78" applyBorder="1" applyAlignment="1">
      <alignment horizontal="left"/>
      <protection/>
    </xf>
    <xf numFmtId="0" fontId="13" fillId="0" borderId="65" xfId="78" applyFill="1" applyBorder="1" applyAlignment="1">
      <alignment horizontal="left"/>
      <protection/>
    </xf>
    <xf numFmtId="168" fontId="94" fillId="3" borderId="13" xfId="74" applyNumberFormat="1" applyFont="1" applyFill="1" applyBorder="1" applyAlignment="1" applyProtection="1">
      <alignment horizontal="center" vertical="center" wrapText="1"/>
      <protection/>
    </xf>
    <xf numFmtId="168" fontId="94" fillId="3" borderId="11" xfId="74" applyNumberFormat="1" applyFont="1" applyFill="1" applyBorder="1" applyAlignment="1" applyProtection="1">
      <alignment horizontal="center" vertical="center" wrapText="1"/>
      <protection/>
    </xf>
    <xf numFmtId="0" fontId="94" fillId="0" borderId="11" xfId="0" applyNumberFormat="1" applyFont="1" applyFill="1" applyBorder="1" applyAlignment="1" applyProtection="1">
      <alignment horizontal="center" vertical="center" wrapText="1"/>
      <protection/>
    </xf>
    <xf numFmtId="0" fontId="93" fillId="0" borderId="11" xfId="0" applyFont="1" applyBorder="1" applyAlignment="1">
      <alignment horizontal="center" vertical="center" wrapText="1"/>
    </xf>
    <xf numFmtId="0" fontId="94" fillId="0" borderId="19" xfId="0" applyFont="1" applyBorder="1" applyAlignment="1">
      <alignment horizontal="center" vertical="center" wrapText="1"/>
    </xf>
    <xf numFmtId="0" fontId="93" fillId="0" borderId="10" xfId="0" applyFont="1" applyBorder="1" applyAlignment="1">
      <alignment vertical="center" wrapText="1"/>
    </xf>
    <xf numFmtId="0" fontId="94" fillId="0" borderId="14" xfId="0" applyFont="1" applyBorder="1" applyAlignment="1">
      <alignment horizontal="center" vertical="center"/>
    </xf>
    <xf numFmtId="0" fontId="94" fillId="0" borderId="12" xfId="0" applyFont="1" applyBorder="1" applyAlignment="1">
      <alignment vertical="center"/>
    </xf>
    <xf numFmtId="0" fontId="96" fillId="0" borderId="10" xfId="0" applyFont="1" applyBorder="1" applyAlignment="1">
      <alignment horizontal="right" vertical="center" wrapText="1"/>
    </xf>
    <xf numFmtId="2" fontId="94" fillId="0" borderId="14" xfId="0" applyNumberFormat="1" applyFont="1" applyBorder="1" applyAlignment="1">
      <alignment horizontal="center" vertical="center"/>
    </xf>
    <xf numFmtId="0" fontId="94" fillId="0" borderId="12" xfId="96" applyNumberFormat="1" applyFont="1" applyBorder="1" applyAlignment="1">
      <alignment horizontal="left" vertical="center" wrapText="1"/>
      <protection/>
    </xf>
    <xf numFmtId="0" fontId="94" fillId="0" borderId="10" xfId="0" applyFont="1" applyBorder="1" applyAlignment="1">
      <alignment horizontal="left" vertical="center" wrapText="1"/>
    </xf>
    <xf numFmtId="0" fontId="94" fillId="0" borderId="12" xfId="84" applyFont="1" applyBorder="1" applyAlignment="1">
      <alignment vertical="center" wrapText="1"/>
      <protection/>
    </xf>
    <xf numFmtId="4" fontId="94" fillId="0" borderId="14" xfId="0" applyNumberFormat="1" applyFont="1" applyBorder="1" applyAlignment="1">
      <alignment horizontal="center" vertical="center" wrapText="1"/>
    </xf>
    <xf numFmtId="0" fontId="94" fillId="0" borderId="12" xfId="0" applyFont="1" applyBorder="1" applyAlignment="1">
      <alignment vertical="center" wrapText="1"/>
    </xf>
    <xf numFmtId="49" fontId="94" fillId="0" borderId="10" xfId="0" applyNumberFormat="1" applyFont="1" applyBorder="1" applyAlignment="1">
      <alignment horizontal="left" vertical="center" wrapText="1"/>
    </xf>
    <xf numFmtId="0" fontId="94" fillId="0" borderId="10" xfId="0" applyFont="1" applyBorder="1" applyAlignment="1">
      <alignment horizontal="center" vertical="center" wrapText="1"/>
    </xf>
    <xf numFmtId="0" fontId="93" fillId="0" borderId="10" xfId="0" applyFont="1" applyBorder="1" applyAlignment="1">
      <alignment horizontal="left" vertical="center" wrapText="1"/>
    </xf>
    <xf numFmtId="0" fontId="94" fillId="0" borderId="12" xfId="0" applyFont="1" applyBorder="1" applyAlignment="1">
      <alignment horizontal="left" vertical="center" wrapText="1"/>
    </xf>
    <xf numFmtId="0" fontId="96" fillId="0" borderId="10" xfId="0" applyFont="1" applyFill="1" applyBorder="1" applyAlignment="1">
      <alignment horizontal="right" vertical="center" wrapText="1"/>
    </xf>
    <xf numFmtId="0" fontId="94" fillId="0" borderId="10" xfId="0" applyFont="1" applyFill="1" applyBorder="1" applyAlignment="1">
      <alignment horizontal="left" vertical="center" wrapText="1"/>
    </xf>
    <xf numFmtId="0" fontId="94" fillId="0" borderId="14" xfId="0" applyFont="1" applyFill="1" applyBorder="1" applyAlignment="1">
      <alignment horizontal="center" vertical="center"/>
    </xf>
    <xf numFmtId="0" fontId="94" fillId="0" borderId="12" xfId="0" applyFont="1" applyFill="1" applyBorder="1" applyAlignment="1">
      <alignment vertical="center" wrapText="1"/>
    </xf>
    <xf numFmtId="0" fontId="94" fillId="0" borderId="10" xfId="0" applyFont="1" applyFill="1" applyBorder="1" applyAlignment="1">
      <alignment horizontal="left" wrapText="1"/>
    </xf>
    <xf numFmtId="0" fontId="94" fillId="0" borderId="12" xfId="86" applyNumberFormat="1" applyFont="1" applyBorder="1" applyAlignment="1">
      <alignment horizontal="left" vertical="center" wrapText="1"/>
      <protection/>
    </xf>
    <xf numFmtId="0" fontId="94" fillId="0" borderId="12" xfId="94" applyNumberFormat="1" applyFont="1" applyBorder="1" applyAlignment="1">
      <alignment horizontal="left" vertical="center" wrapText="1"/>
      <protection/>
    </xf>
    <xf numFmtId="0" fontId="96" fillId="5" borderId="10" xfId="0" applyFont="1" applyFill="1" applyBorder="1" applyAlignment="1">
      <alignment horizontal="right" vertical="center" wrapText="1"/>
    </xf>
    <xf numFmtId="0" fontId="94" fillId="5" borderId="14" xfId="0" applyFont="1" applyFill="1" applyBorder="1" applyAlignment="1">
      <alignment horizontal="center" vertical="center"/>
    </xf>
    <xf numFmtId="0" fontId="94" fillId="5" borderId="14" xfId="0" applyFont="1" applyFill="1" applyBorder="1" applyAlignment="1">
      <alignment horizontal="left" wrapText="1"/>
    </xf>
    <xf numFmtId="2" fontId="93" fillId="5" borderId="14" xfId="0" applyNumberFormat="1" applyFont="1" applyFill="1" applyBorder="1" applyAlignment="1">
      <alignment horizontal="center" vertical="center"/>
    </xf>
    <xf numFmtId="0" fontId="94" fillId="5" borderId="12" xfId="0" applyFont="1" applyFill="1" applyBorder="1" applyAlignment="1">
      <alignment wrapText="1"/>
    </xf>
    <xf numFmtId="0" fontId="94" fillId="0" borderId="10" xfId="0" applyFont="1" applyBorder="1" applyAlignment="1">
      <alignment horizontal="right" vertical="center" wrapText="1"/>
    </xf>
    <xf numFmtId="0" fontId="94" fillId="0" borderId="14" xfId="0" applyFont="1" applyBorder="1" applyAlignment="1">
      <alignment/>
    </xf>
    <xf numFmtId="0" fontId="93" fillId="0" borderId="14" xfId="0" applyFont="1" applyFill="1" applyBorder="1" applyAlignment="1">
      <alignment vertical="center"/>
    </xf>
    <xf numFmtId="0" fontId="94" fillId="0" borderId="12" xfId="0" applyFont="1" applyBorder="1" applyAlignment="1">
      <alignment/>
    </xf>
    <xf numFmtId="0" fontId="93" fillId="0" borderId="10" xfId="0" applyFont="1" applyBorder="1" applyAlignment="1">
      <alignment horizontal="right" vertical="center" wrapText="1"/>
    </xf>
    <xf numFmtId="2" fontId="93" fillId="0" borderId="12" xfId="0" applyNumberFormat="1" applyFont="1" applyBorder="1" applyAlignment="1">
      <alignment/>
    </xf>
    <xf numFmtId="0" fontId="94" fillId="0" borderId="21" xfId="0" applyFont="1" applyBorder="1" applyAlignment="1">
      <alignment horizontal="center" vertical="center"/>
    </xf>
    <xf numFmtId="4" fontId="94" fillId="0" borderId="21" xfId="0" applyNumberFormat="1" applyFont="1" applyBorder="1" applyAlignment="1">
      <alignment horizontal="center"/>
    </xf>
    <xf numFmtId="4" fontId="93" fillId="0" borderId="21" xfId="0" applyNumberFormat="1" applyFont="1" applyBorder="1" applyAlignment="1">
      <alignment horizontal="center" vertical="center"/>
    </xf>
    <xf numFmtId="4" fontId="96" fillId="0" borderId="21" xfId="0" applyNumberFormat="1" applyFont="1" applyBorder="1" applyAlignment="1">
      <alignment horizontal="center" vertical="center"/>
    </xf>
    <xf numFmtId="0" fontId="94" fillId="0" borderId="65" xfId="0" applyFont="1" applyBorder="1" applyAlignment="1">
      <alignment/>
    </xf>
    <xf numFmtId="1" fontId="27" fillId="0" borderId="14" xfId="88" applyNumberFormat="1" applyFont="1" applyFill="1" applyBorder="1" applyAlignment="1">
      <alignment horizontal="center" vertical="center" wrapText="1"/>
      <protection/>
    </xf>
    <xf numFmtId="3" fontId="26" fillId="0" borderId="14" xfId="88" applyNumberFormat="1" applyFont="1" applyBorder="1">
      <alignment/>
      <protection/>
    </xf>
    <xf numFmtId="9" fontId="26" fillId="0" borderId="14" xfId="88" applyNumberFormat="1" applyFont="1" applyBorder="1">
      <alignment/>
      <protection/>
    </xf>
    <xf numFmtId="3" fontId="60" fillId="0" borderId="14" xfId="88" applyNumberFormat="1" applyFont="1" applyBorder="1">
      <alignment/>
      <protection/>
    </xf>
    <xf numFmtId="9" fontId="60" fillId="0" borderId="14" xfId="88" applyNumberFormat="1" applyFont="1" applyBorder="1">
      <alignment/>
      <protection/>
    </xf>
    <xf numFmtId="9" fontId="26" fillId="0" borderId="12" xfId="88" applyNumberFormat="1" applyFont="1" applyBorder="1">
      <alignment/>
      <protection/>
    </xf>
    <xf numFmtId="9" fontId="60" fillId="0" borderId="12" xfId="88" applyNumberFormat="1" applyFont="1" applyBorder="1">
      <alignment/>
      <protection/>
    </xf>
    <xf numFmtId="3" fontId="26" fillId="0" borderId="21" xfId="88" applyNumberFormat="1" applyFont="1" applyBorder="1">
      <alignment/>
      <protection/>
    </xf>
    <xf numFmtId="9" fontId="27" fillId="0" borderId="21" xfId="88" applyNumberFormat="1" applyFont="1" applyBorder="1">
      <alignment/>
      <protection/>
    </xf>
    <xf numFmtId="9" fontId="27" fillId="0" borderId="65" xfId="88" applyNumberFormat="1" applyFont="1" applyBorder="1">
      <alignment/>
      <protection/>
    </xf>
    <xf numFmtId="0" fontId="27" fillId="0" borderId="0" xfId="0" applyFont="1" applyFill="1" applyAlignment="1">
      <alignment horizontal="left"/>
    </xf>
    <xf numFmtId="0" fontId="102" fillId="0" borderId="0" xfId="75" applyFont="1" applyAlignment="1">
      <alignment vertical="center"/>
      <protection/>
    </xf>
    <xf numFmtId="0" fontId="51" fillId="0" borderId="0" xfId="0" applyFont="1" applyBorder="1" applyAlignment="1">
      <alignment vertical="center"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168" fontId="52" fillId="45" borderId="10" xfId="74" applyNumberFormat="1" applyFont="1" applyFill="1" applyBorder="1" applyAlignment="1" applyProtection="1">
      <alignment horizontal="left" vertical="center" wrapText="1"/>
      <protection/>
    </xf>
    <xf numFmtId="168" fontId="51" fillId="45" borderId="14" xfId="74" applyNumberFormat="1" applyFont="1" applyFill="1" applyBorder="1" applyAlignment="1" applyProtection="1">
      <alignment horizontal="center" vertical="center" wrapText="1"/>
      <protection/>
    </xf>
    <xf numFmtId="169" fontId="52" fillId="45" borderId="81" xfId="0" applyNumberFormat="1" applyFont="1" applyFill="1" applyBorder="1" applyAlignment="1" applyProtection="1">
      <alignment horizontal="center" vertical="center" wrapText="1"/>
      <protection/>
    </xf>
    <xf numFmtId="4" fontId="52" fillId="45" borderId="81" xfId="91" applyNumberFormat="1" applyFont="1" applyFill="1" applyBorder="1" applyAlignment="1">
      <alignment horizontal="center" vertical="center"/>
      <protection/>
    </xf>
    <xf numFmtId="0" fontId="96" fillId="0" borderId="14" xfId="0" applyFont="1" applyBorder="1" applyAlignment="1">
      <alignment horizontal="right"/>
    </xf>
    <xf numFmtId="0" fontId="60" fillId="0" borderId="10" xfId="0" applyFont="1" applyBorder="1" applyAlignment="1">
      <alignment horizontal="right" vertical="center" wrapText="1"/>
    </xf>
    <xf numFmtId="0" fontId="27" fillId="0" borderId="14" xfId="0" applyFont="1" applyBorder="1" applyAlignment="1">
      <alignment horizontal="center" vertical="center"/>
    </xf>
    <xf numFmtId="4" fontId="27" fillId="0" borderId="14" xfId="0" applyNumberFormat="1" applyFont="1" applyBorder="1" applyAlignment="1">
      <alignment horizontal="center" vertical="center"/>
    </xf>
    <xf numFmtId="4" fontId="26" fillId="0" borderId="14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91" fillId="0" borderId="0" xfId="0" applyFont="1" applyAlignment="1">
      <alignment/>
    </xf>
    <xf numFmtId="0" fontId="91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26" fillId="0" borderId="29" xfId="88" applyFont="1" applyBorder="1" applyAlignment="1">
      <alignment horizontal="center" vertical="center" wrapText="1"/>
      <protection/>
    </xf>
    <xf numFmtId="49" fontId="51" fillId="0" borderId="10" xfId="73" applyNumberFormat="1" applyFont="1" applyFill="1" applyBorder="1" applyAlignment="1" applyProtection="1">
      <alignment horizontal="left" vertical="center" wrapText="1"/>
      <protection/>
    </xf>
    <xf numFmtId="0" fontId="51" fillId="0" borderId="10" xfId="73" applyNumberFormat="1" applyFont="1" applyFill="1" applyBorder="1" applyAlignment="1" applyProtection="1">
      <alignment horizontal="left" vertical="center" wrapText="1"/>
      <protection/>
    </xf>
    <xf numFmtId="0" fontId="52" fillId="0" borderId="10" xfId="0" applyFont="1" applyFill="1" applyBorder="1" applyAlignment="1">
      <alignment horizontal="right" vertical="center"/>
    </xf>
    <xf numFmtId="0" fontId="52" fillId="0" borderId="10" xfId="73" applyNumberFormat="1" applyFont="1" applyFill="1" applyBorder="1" applyAlignment="1" applyProtection="1">
      <alignment horizontal="left" vertical="center" wrapText="1"/>
      <protection/>
    </xf>
    <xf numFmtId="0" fontId="52" fillId="0" borderId="10" xfId="0" applyFont="1" applyFill="1" applyBorder="1" applyAlignment="1" applyProtection="1">
      <alignment vertical="center" wrapText="1"/>
      <protection/>
    </xf>
    <xf numFmtId="49" fontId="51" fillId="0" borderId="10" xfId="92" applyNumberFormat="1" applyFont="1" applyFill="1" applyBorder="1" applyAlignment="1" applyProtection="1">
      <alignment horizontal="left" vertical="center" wrapText="1" indent="3"/>
      <protection/>
    </xf>
    <xf numFmtId="49" fontId="51" fillId="0" borderId="10" xfId="80" applyNumberFormat="1" applyFont="1" applyFill="1" applyBorder="1" applyAlignment="1" applyProtection="1">
      <alignment horizontal="left" vertical="center" wrapText="1" indent="4"/>
      <protection/>
    </xf>
    <xf numFmtId="49" fontId="51" fillId="0" borderId="10" xfId="92" applyNumberFormat="1" applyFont="1" applyFill="1" applyBorder="1" applyAlignment="1" applyProtection="1">
      <alignment horizontal="right" vertical="center" wrapText="1"/>
      <protection/>
    </xf>
    <xf numFmtId="0" fontId="51" fillId="0" borderId="10" xfId="0" applyFont="1" applyFill="1" applyBorder="1" applyAlignment="1" applyProtection="1">
      <alignment horizontal="right" vertical="center" wrapText="1"/>
      <protection/>
    </xf>
    <xf numFmtId="49" fontId="53" fillId="0" borderId="10" xfId="92" applyNumberFormat="1" applyFont="1" applyFill="1" applyBorder="1" applyAlignment="1" applyProtection="1">
      <alignment horizontal="right" vertical="center" wrapText="1" indent="3"/>
      <protection/>
    </xf>
    <xf numFmtId="49" fontId="52" fillId="0" borderId="10" xfId="92" applyNumberFormat="1" applyFont="1" applyFill="1" applyBorder="1" applyAlignment="1" applyProtection="1">
      <alignment horizontal="left" vertical="center" wrapText="1"/>
      <protection/>
    </xf>
    <xf numFmtId="0" fontId="51" fillId="0" borderId="10" xfId="92" applyFont="1" applyFill="1" applyBorder="1" applyAlignment="1" applyProtection="1">
      <alignment horizontal="left" vertical="center" wrapText="1" indent="3"/>
      <protection/>
    </xf>
    <xf numFmtId="0" fontId="51" fillId="0" borderId="10" xfId="92" applyFont="1" applyFill="1" applyBorder="1" applyAlignment="1" applyProtection="1">
      <alignment horizontal="right" vertical="center" wrapText="1"/>
      <protection/>
    </xf>
    <xf numFmtId="0" fontId="53" fillId="0" borderId="10" xfId="92" applyFont="1" applyFill="1" applyBorder="1" applyAlignment="1" applyProtection="1">
      <alignment horizontal="right" vertical="center" wrapText="1"/>
      <protection/>
    </xf>
    <xf numFmtId="0" fontId="25" fillId="0" borderId="10" xfId="92" applyFont="1" applyFill="1" applyBorder="1" applyAlignment="1" applyProtection="1">
      <alignment horizontal="right" vertical="center" wrapText="1"/>
      <protection/>
    </xf>
    <xf numFmtId="0" fontId="52" fillId="0" borderId="10" xfId="0" applyFont="1" applyFill="1" applyBorder="1" applyAlignment="1" applyProtection="1">
      <alignment horizontal="left" vertical="center" wrapText="1"/>
      <protection/>
    </xf>
    <xf numFmtId="0" fontId="53" fillId="0" borderId="10" xfId="0" applyFont="1" applyFill="1" applyBorder="1" applyAlignment="1" applyProtection="1">
      <alignment horizontal="right" vertical="center" wrapText="1"/>
      <protection/>
    </xf>
    <xf numFmtId="0" fontId="51" fillId="0" borderId="10" xfId="0" applyFont="1" applyFill="1" applyBorder="1" applyAlignment="1" applyProtection="1">
      <alignment horizontal="left" vertical="center" wrapText="1"/>
      <protection/>
    </xf>
    <xf numFmtId="0" fontId="51" fillId="0" borderId="10" xfId="0" applyFont="1" applyFill="1" applyBorder="1" applyAlignment="1" applyProtection="1">
      <alignment vertical="center" wrapText="1"/>
      <protection/>
    </xf>
    <xf numFmtId="0" fontId="51" fillId="0" borderId="10" xfId="0" applyFont="1" applyFill="1" applyBorder="1" applyAlignment="1" applyProtection="1">
      <alignment horizontal="left" vertical="center" wrapText="1" indent="2"/>
      <protection/>
    </xf>
    <xf numFmtId="171" fontId="0" fillId="0" borderId="0" xfId="0" applyNumberFormat="1" applyAlignment="1">
      <alignment/>
    </xf>
    <xf numFmtId="0" fontId="28" fillId="0" borderId="0" xfId="0" applyFont="1" applyAlignment="1">
      <alignment vertical="center" wrapText="1"/>
    </xf>
    <xf numFmtId="0" fontId="27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14" xfId="0" applyFont="1" applyFill="1" applyBorder="1" applyAlignment="1">
      <alignment horizontal="center" vertical="center" wrapText="1"/>
    </xf>
    <xf numFmtId="0" fontId="27" fillId="0" borderId="14" xfId="73" applyNumberFormat="1" applyFont="1" applyFill="1" applyBorder="1" applyAlignment="1" applyProtection="1">
      <alignment horizontal="left" vertical="center" wrapText="1"/>
      <protection/>
    </xf>
    <xf numFmtId="4" fontId="27" fillId="0" borderId="14" xfId="85" applyNumberFormat="1" applyFont="1" applyFill="1" applyBorder="1" applyAlignment="1" applyProtection="1">
      <alignment horizontal="center" vertical="center" wrapText="1"/>
      <protection/>
    </xf>
    <xf numFmtId="3" fontId="27" fillId="0" borderId="14" xfId="85" applyNumberFormat="1" applyFont="1" applyFill="1" applyBorder="1" applyAlignment="1" applyProtection="1">
      <alignment horizontal="center" vertical="center" wrapText="1"/>
      <protection/>
    </xf>
    <xf numFmtId="4" fontId="26" fillId="0" borderId="14" xfId="85" applyNumberFormat="1" applyFont="1" applyFill="1" applyBorder="1" applyAlignment="1" applyProtection="1">
      <alignment horizontal="center" vertical="center" wrapText="1"/>
      <protection/>
    </xf>
    <xf numFmtId="3" fontId="26" fillId="0" borderId="14" xfId="85" applyNumberFormat="1" applyFont="1" applyFill="1" applyBorder="1" applyAlignment="1" applyProtection="1">
      <alignment horizontal="center" vertical="center" wrapText="1"/>
      <protection/>
    </xf>
    <xf numFmtId="169" fontId="26" fillId="0" borderId="14" xfId="85" applyNumberFormat="1" applyFont="1" applyFill="1" applyBorder="1" applyAlignment="1" applyProtection="1">
      <alignment horizontal="center" vertical="center" wrapText="1"/>
      <protection/>
    </xf>
    <xf numFmtId="9" fontId="27" fillId="0" borderId="14" xfId="105" applyFont="1" applyFill="1" applyBorder="1" applyAlignment="1" applyProtection="1">
      <alignment horizontal="center" vertical="center" wrapText="1"/>
      <protection/>
    </xf>
    <xf numFmtId="9" fontId="26" fillId="0" borderId="14" xfId="105" applyFont="1" applyFill="1" applyBorder="1" applyAlignment="1" applyProtection="1">
      <alignment horizontal="center" vertical="center" wrapText="1"/>
      <protection/>
    </xf>
    <xf numFmtId="0" fontId="26" fillId="0" borderId="14" xfId="0" applyFont="1" applyFill="1" applyBorder="1" applyAlignment="1" applyProtection="1">
      <alignment vertical="center" wrapText="1"/>
      <protection/>
    </xf>
    <xf numFmtId="4" fontId="27" fillId="0" borderId="14" xfId="92" applyNumberFormat="1" applyFont="1" applyFill="1" applyBorder="1" applyAlignment="1" applyProtection="1">
      <alignment horizontal="center" vertical="center" wrapText="1"/>
      <protection/>
    </xf>
    <xf numFmtId="0" fontId="27" fillId="0" borderId="14" xfId="0" applyFont="1" applyFill="1" applyBorder="1" applyAlignment="1">
      <alignment/>
    </xf>
    <xf numFmtId="4" fontId="60" fillId="0" borderId="14" xfId="92" applyNumberFormat="1" applyFont="1" applyFill="1" applyBorder="1" applyAlignment="1" applyProtection="1">
      <alignment horizontal="right" vertical="center" wrapText="1"/>
      <protection/>
    </xf>
    <xf numFmtId="4" fontId="26" fillId="0" borderId="14" xfId="92" applyNumberFormat="1" applyFont="1" applyFill="1" applyBorder="1" applyAlignment="1" applyProtection="1">
      <alignment horizontal="center" vertical="center" wrapText="1"/>
      <protection/>
    </xf>
    <xf numFmtId="49" fontId="27" fillId="0" borderId="14" xfId="80" applyNumberFormat="1" applyFont="1" applyFill="1" applyBorder="1" applyAlignment="1" applyProtection="1">
      <alignment horizontal="left" vertical="center" wrapText="1" indent="4"/>
      <protection/>
    </xf>
    <xf numFmtId="4" fontId="27" fillId="0" borderId="14" xfId="92" applyNumberFormat="1" applyFont="1" applyFill="1" applyBorder="1" applyAlignment="1" applyProtection="1">
      <alignment horizontal="center" vertical="center" wrapText="1"/>
      <protection locked="0"/>
    </xf>
    <xf numFmtId="4" fontId="60" fillId="0" borderId="14" xfId="92" applyNumberFormat="1" applyFont="1" applyFill="1" applyBorder="1" applyAlignment="1" applyProtection="1">
      <alignment horizontal="right" vertical="center" wrapText="1"/>
      <protection locked="0"/>
    </xf>
    <xf numFmtId="4" fontId="60" fillId="0" borderId="14" xfId="85" applyNumberFormat="1" applyFont="1" applyFill="1" applyBorder="1" applyAlignment="1" applyProtection="1">
      <alignment horizontal="right" vertical="center" wrapText="1"/>
      <protection/>
    </xf>
    <xf numFmtId="4" fontId="26" fillId="0" borderId="14" xfId="92" applyNumberFormat="1" applyFont="1" applyFill="1" applyBorder="1" applyAlignment="1" applyProtection="1">
      <alignment horizontal="center" vertical="center" wrapText="1"/>
      <protection locked="0"/>
    </xf>
    <xf numFmtId="2" fontId="27" fillId="0" borderId="14" xfId="80" applyNumberFormat="1" applyFont="1" applyFill="1" applyBorder="1" applyAlignment="1" applyProtection="1">
      <alignment horizontal="right" vertical="center" wrapText="1"/>
      <protection/>
    </xf>
    <xf numFmtId="0" fontId="27" fillId="0" borderId="14" xfId="0" applyFont="1" applyFill="1" applyBorder="1" applyAlignment="1" applyProtection="1">
      <alignment horizontal="right" vertical="center" wrapText="1"/>
      <protection/>
    </xf>
    <xf numFmtId="4" fontId="27" fillId="0" borderId="14" xfId="0" applyNumberFormat="1" applyFont="1" applyFill="1" applyBorder="1" applyAlignment="1">
      <alignment horizontal="center"/>
    </xf>
    <xf numFmtId="4" fontId="26" fillId="0" borderId="14" xfId="92" applyNumberFormat="1" applyFont="1" applyFill="1" applyBorder="1" applyAlignment="1" applyProtection="1">
      <alignment horizontal="center" vertical="center"/>
      <protection/>
    </xf>
    <xf numFmtId="4" fontId="26" fillId="0" borderId="14" xfId="0" applyNumberFormat="1" applyFont="1" applyFill="1" applyBorder="1" applyAlignment="1">
      <alignment horizontal="center" vertical="center"/>
    </xf>
    <xf numFmtId="4" fontId="27" fillId="0" borderId="14" xfId="92" applyNumberFormat="1" applyFont="1" applyFill="1" applyBorder="1" applyAlignment="1" applyProtection="1">
      <alignment horizontal="right" vertical="center" wrapText="1"/>
      <protection locked="0"/>
    </xf>
    <xf numFmtId="4" fontId="27" fillId="0" borderId="20" xfId="92" applyNumberFormat="1" applyFont="1" applyFill="1" applyBorder="1" applyAlignment="1" applyProtection="1">
      <alignment horizontal="center" vertical="center" wrapText="1"/>
      <protection locked="0"/>
    </xf>
    <xf numFmtId="169" fontId="60" fillId="0" borderId="14" xfId="92" applyNumberFormat="1" applyFont="1" applyFill="1" applyBorder="1" applyAlignment="1" applyProtection="1">
      <alignment horizontal="center" vertical="center" wrapText="1"/>
      <protection locked="0"/>
    </xf>
    <xf numFmtId="4" fontId="60" fillId="0" borderId="14" xfId="92" applyNumberFormat="1" applyFont="1" applyFill="1" applyBorder="1" applyAlignment="1" applyProtection="1">
      <alignment horizontal="center" vertical="center" wrapText="1"/>
      <protection locked="0"/>
    </xf>
    <xf numFmtId="169" fontId="24" fillId="0" borderId="14" xfId="85" applyNumberFormat="1" applyFont="1" applyFill="1" applyBorder="1" applyAlignment="1" applyProtection="1">
      <alignment horizontal="right" vertical="center" wrapText="1"/>
      <protection/>
    </xf>
    <xf numFmtId="169" fontId="26" fillId="0" borderId="14" xfId="92" applyNumberFormat="1" applyFont="1" applyFill="1" applyBorder="1" applyAlignment="1" applyProtection="1">
      <alignment horizontal="center" vertical="center" wrapText="1"/>
      <protection locked="0"/>
    </xf>
    <xf numFmtId="4" fontId="24" fillId="0" borderId="14" xfId="85" applyNumberFormat="1" applyFont="1" applyFill="1" applyBorder="1" applyAlignment="1" applyProtection="1">
      <alignment horizontal="right" vertical="center" wrapText="1"/>
      <protection/>
    </xf>
    <xf numFmtId="3" fontId="24" fillId="0" borderId="14" xfId="85" applyNumberFormat="1" applyFont="1" applyFill="1" applyBorder="1" applyAlignment="1" applyProtection="1">
      <alignment horizontal="right" vertical="center" wrapText="1"/>
      <protection/>
    </xf>
    <xf numFmtId="4" fontId="24" fillId="0" borderId="14" xfId="92" applyNumberFormat="1" applyFont="1" applyFill="1" applyBorder="1" applyAlignment="1" applyProtection="1">
      <alignment horizontal="right" vertical="center" wrapText="1"/>
      <protection locked="0"/>
    </xf>
    <xf numFmtId="0" fontId="26" fillId="0" borderId="14" xfId="0" applyFont="1" applyFill="1" applyBorder="1" applyAlignment="1" applyProtection="1">
      <alignment horizontal="left" vertical="center" wrapText="1"/>
      <protection/>
    </xf>
    <xf numFmtId="4" fontId="24" fillId="0" borderId="14" xfId="92" applyNumberFormat="1" applyFont="1" applyFill="1" applyBorder="1" applyAlignment="1" applyProtection="1">
      <alignment horizontal="right" vertical="center" wrapText="1"/>
      <protection/>
    </xf>
    <xf numFmtId="4" fontId="24" fillId="0" borderId="14" xfId="0" applyNumberFormat="1" applyFont="1" applyFill="1" applyBorder="1" applyAlignment="1">
      <alignment horizontal="right" vertical="center"/>
    </xf>
    <xf numFmtId="4" fontId="27" fillId="0" borderId="14" xfId="0" applyNumberFormat="1" applyFont="1" applyFill="1" applyBorder="1" applyAlignment="1">
      <alignment horizontal="center" vertical="center"/>
    </xf>
    <xf numFmtId="49" fontId="27" fillId="0" borderId="14" xfId="0" applyNumberFormat="1" applyFont="1" applyFill="1" applyBorder="1" applyAlignment="1" applyProtection="1">
      <alignment horizontal="right" vertical="center" wrapText="1"/>
      <protection/>
    </xf>
    <xf numFmtId="0" fontId="37" fillId="0" borderId="14" xfId="0" applyFont="1" applyFill="1" applyBorder="1" applyAlignment="1" applyProtection="1">
      <alignment horizontal="right" vertical="center" wrapText="1"/>
      <protection/>
    </xf>
    <xf numFmtId="4" fontId="30" fillId="0" borderId="14" xfId="92" applyNumberFormat="1" applyFont="1" applyFill="1" applyBorder="1" applyAlignment="1" applyProtection="1">
      <alignment horizontal="right" vertical="center" wrapText="1"/>
      <protection/>
    </xf>
    <xf numFmtId="4" fontId="37" fillId="0" borderId="14" xfId="92" applyNumberFormat="1" applyFont="1" applyFill="1" applyBorder="1" applyAlignment="1" applyProtection="1">
      <alignment horizontal="right" vertical="center" wrapText="1"/>
      <protection/>
    </xf>
    <xf numFmtId="4" fontId="37" fillId="0" borderId="14" xfId="92" applyNumberFormat="1" applyFont="1" applyFill="1" applyBorder="1" applyAlignment="1" applyProtection="1">
      <alignment horizontal="center" vertical="center" wrapText="1"/>
      <protection/>
    </xf>
    <xf numFmtId="0" fontId="26" fillId="0" borderId="14" xfId="0" applyFont="1" applyFill="1" applyBorder="1" applyAlignment="1" applyProtection="1">
      <alignment horizontal="right" vertical="center" wrapText="1"/>
      <protection/>
    </xf>
    <xf numFmtId="0" fontId="27" fillId="0" borderId="14" xfId="0" applyFont="1" applyFill="1" applyBorder="1" applyAlignment="1" applyProtection="1">
      <alignment horizontal="left" vertical="center" wrapText="1"/>
      <protection/>
    </xf>
    <xf numFmtId="0" fontId="27" fillId="0" borderId="14" xfId="0" applyFont="1" applyFill="1" applyBorder="1" applyAlignment="1" applyProtection="1">
      <alignment vertical="center" wrapText="1"/>
      <protection/>
    </xf>
    <xf numFmtId="0" fontId="27" fillId="0" borderId="14" xfId="0" applyFont="1" applyFill="1" applyBorder="1" applyAlignment="1" applyProtection="1">
      <alignment horizontal="left" vertical="center" wrapText="1" indent="2"/>
      <protection/>
    </xf>
    <xf numFmtId="0" fontId="51" fillId="45" borderId="11" xfId="0" applyFont="1" applyFill="1" applyBorder="1" applyAlignment="1">
      <alignment horizontal="center" vertical="center" wrapText="1"/>
    </xf>
    <xf numFmtId="0" fontId="93" fillId="0" borderId="106" xfId="0" applyFont="1" applyBorder="1" applyAlignment="1">
      <alignment horizontal="center" vertical="center"/>
    </xf>
    <xf numFmtId="4" fontId="93" fillId="0" borderId="81" xfId="0" applyNumberFormat="1" applyFont="1" applyBorder="1" applyAlignment="1">
      <alignment horizontal="center" vertical="center"/>
    </xf>
    <xf numFmtId="4" fontId="94" fillId="0" borderId="81" xfId="0" applyNumberFormat="1" applyFont="1" applyBorder="1" applyAlignment="1">
      <alignment horizontal="center" vertical="center"/>
    </xf>
    <xf numFmtId="4" fontId="93" fillId="0" borderId="81" xfId="0" applyNumberFormat="1" applyFont="1" applyBorder="1" applyAlignment="1">
      <alignment horizontal="center" vertical="center" wrapText="1"/>
    </xf>
    <xf numFmtId="4" fontId="93" fillId="0" borderId="81" xfId="0" applyNumberFormat="1" applyFont="1" applyFill="1" applyBorder="1" applyAlignment="1">
      <alignment horizontal="center" vertical="center"/>
    </xf>
    <xf numFmtId="4" fontId="93" fillId="0" borderId="81" xfId="0" applyNumberFormat="1" applyFont="1" applyFill="1" applyBorder="1" applyAlignment="1">
      <alignment horizontal="center" vertical="center" wrapText="1"/>
    </xf>
    <xf numFmtId="4" fontId="93" fillId="0" borderId="107" xfId="0" applyNumberFormat="1" applyFont="1" applyBorder="1" applyAlignment="1">
      <alignment horizontal="center" vertical="center" wrapText="1"/>
    </xf>
    <xf numFmtId="0" fontId="12" fillId="17" borderId="14" xfId="0" applyFont="1" applyFill="1" applyBorder="1" applyAlignment="1">
      <alignment horizontal="center" vertical="center" wrapText="1"/>
    </xf>
    <xf numFmtId="0" fontId="12" fillId="17" borderId="19" xfId="0" applyFont="1" applyFill="1" applyBorder="1" applyAlignment="1">
      <alignment horizontal="center" vertical="center" wrapText="1"/>
    </xf>
    <xf numFmtId="4" fontId="41" fillId="17" borderId="0" xfId="0" applyNumberFormat="1" applyFont="1" applyFill="1" applyAlignment="1">
      <alignment/>
    </xf>
    <xf numFmtId="0" fontId="93" fillId="0" borderId="106" xfId="0" applyFont="1" applyBorder="1" applyAlignment="1">
      <alignment horizontal="center" vertical="center" wrapText="1"/>
    </xf>
    <xf numFmtId="2" fontId="94" fillId="0" borderId="81" xfId="0" applyNumberFormat="1" applyFont="1" applyBorder="1" applyAlignment="1">
      <alignment horizontal="center" vertical="center"/>
    </xf>
    <xf numFmtId="4" fontId="27" fillId="0" borderId="81" xfId="0" applyNumberFormat="1" applyFont="1" applyBorder="1" applyAlignment="1">
      <alignment horizontal="center" vertical="center"/>
    </xf>
    <xf numFmtId="4" fontId="94" fillId="0" borderId="81" xfId="0" applyNumberFormat="1" applyFont="1" applyFill="1" applyBorder="1" applyAlignment="1">
      <alignment horizontal="center" vertical="center"/>
    </xf>
    <xf numFmtId="0" fontId="93" fillId="0" borderId="81" xfId="0" applyFont="1" applyFill="1" applyBorder="1" applyAlignment="1">
      <alignment vertical="center"/>
    </xf>
    <xf numFmtId="4" fontId="14" fillId="0" borderId="81" xfId="0" applyNumberFormat="1" applyFont="1" applyBorder="1" applyAlignment="1">
      <alignment horizontal="center" vertical="center"/>
    </xf>
    <xf numFmtId="2" fontId="14" fillId="0" borderId="81" xfId="0" applyNumberFormat="1" applyFont="1" applyBorder="1" applyAlignment="1">
      <alignment horizontal="center" vertical="center"/>
    </xf>
    <xf numFmtId="4" fontId="55" fillId="3" borderId="62" xfId="93" applyNumberFormat="1" applyFont="1" applyFill="1" applyBorder="1" applyAlignment="1">
      <alignment horizontal="right" vertical="top" wrapText="1"/>
      <protection/>
    </xf>
    <xf numFmtId="171" fontId="94" fillId="0" borderId="0" xfId="0" applyNumberFormat="1" applyFont="1" applyAlignment="1">
      <alignment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7" fillId="0" borderId="14" xfId="92" applyNumberFormat="1" applyFont="1" applyFill="1" applyBorder="1" applyAlignment="1" applyProtection="1">
      <alignment horizontal="center" vertical="center" wrapText="1"/>
      <protection locked="0"/>
    </xf>
    <xf numFmtId="169" fontId="24" fillId="0" borderId="14" xfId="92" applyNumberFormat="1" applyFont="1" applyFill="1" applyBorder="1" applyAlignment="1" applyProtection="1">
      <alignment horizontal="right" vertical="center" wrapText="1"/>
      <protection locked="0"/>
    </xf>
    <xf numFmtId="0" fontId="24" fillId="0" borderId="10" xfId="0" applyFont="1" applyFill="1" applyBorder="1" applyAlignment="1" applyProtection="1">
      <alignment horizontal="right" vertical="center" wrapText="1"/>
      <protection/>
    </xf>
    <xf numFmtId="49" fontId="27" fillId="0" borderId="10" xfId="92" applyNumberFormat="1" applyFont="1" applyFill="1" applyBorder="1" applyAlignment="1" applyProtection="1">
      <alignment horizontal="right" vertical="center" wrapText="1"/>
      <protection/>
    </xf>
    <xf numFmtId="168" fontId="27" fillId="45" borderId="14" xfId="74" applyNumberFormat="1" applyFont="1" applyFill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>
      <alignment horizontal="right" vertical="center" wrapText="1"/>
    </xf>
    <xf numFmtId="0" fontId="12" fillId="0" borderId="10" xfId="0" applyFont="1" applyBorder="1" applyAlignment="1">
      <alignment horizontal="left" vertical="center" wrapText="1"/>
    </xf>
    <xf numFmtId="169" fontId="94" fillId="0" borderId="81" xfId="0" applyNumberFormat="1" applyFont="1" applyBorder="1" applyAlignment="1">
      <alignment horizontal="center" vertical="center"/>
    </xf>
    <xf numFmtId="169" fontId="93" fillId="0" borderId="81" xfId="0" applyNumberFormat="1" applyFont="1" applyBorder="1" applyAlignment="1">
      <alignment horizontal="center" vertical="center"/>
    </xf>
    <xf numFmtId="169" fontId="93" fillId="0" borderId="14" xfId="0" applyNumberFormat="1" applyFont="1" applyBorder="1" applyAlignment="1">
      <alignment horizontal="center" vertical="center" wrapText="1"/>
    </xf>
    <xf numFmtId="3" fontId="93" fillId="0" borderId="14" xfId="0" applyNumberFormat="1" applyFont="1" applyBorder="1" applyAlignment="1">
      <alignment horizontal="center" vertical="center"/>
    </xf>
    <xf numFmtId="0" fontId="27" fillId="17" borderId="11" xfId="0" applyFont="1" applyFill="1" applyBorder="1" applyAlignment="1">
      <alignment horizontal="center" vertical="center" wrapText="1"/>
    </xf>
    <xf numFmtId="4" fontId="93" fillId="45" borderId="94" xfId="91" applyNumberFormat="1" applyFont="1" applyFill="1" applyBorder="1" applyAlignment="1">
      <alignment horizontal="center" vertical="center"/>
      <protection/>
    </xf>
    <xf numFmtId="168" fontId="14" fillId="0" borderId="13" xfId="74" applyNumberFormat="1" applyFont="1" applyFill="1" applyBorder="1" applyAlignment="1" applyProtection="1">
      <alignment horizontal="center" vertical="center" wrapText="1"/>
      <protection/>
    </xf>
    <xf numFmtId="168" fontId="14" fillId="0" borderId="11" xfId="74" applyNumberFormat="1" applyFont="1" applyFill="1" applyBorder="1" applyAlignment="1" applyProtection="1">
      <alignment horizontal="center" vertical="center" wrapText="1"/>
      <protection/>
    </xf>
    <xf numFmtId="0" fontId="93" fillId="0" borderId="11" xfId="0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94" fillId="0" borderId="14" xfId="0" applyFont="1" applyFill="1" applyBorder="1" applyAlignment="1">
      <alignment horizontal="center" vertical="center" wrapText="1"/>
    </xf>
    <xf numFmtId="4" fontId="24" fillId="0" borderId="14" xfId="0" applyNumberFormat="1" applyFont="1" applyFill="1" applyBorder="1" applyAlignment="1">
      <alignment horizontal="center" vertical="center"/>
    </xf>
    <xf numFmtId="0" fontId="27" fillId="0" borderId="14" xfId="73" applyNumberFormat="1" applyFont="1" applyFill="1" applyBorder="1" applyAlignment="1" applyProtection="1">
      <alignment horizontal="right" vertical="center" wrapText="1"/>
      <protection/>
    </xf>
    <xf numFmtId="4" fontId="26" fillId="0" borderId="81" xfId="0" applyNumberFormat="1" applyFont="1" applyBorder="1" applyAlignment="1">
      <alignment horizontal="center" vertical="center"/>
    </xf>
    <xf numFmtId="2" fontId="93" fillId="5" borderId="81" xfId="0" applyNumberFormat="1" applyFont="1" applyFill="1" applyBorder="1" applyAlignment="1">
      <alignment horizontal="center" vertical="center"/>
    </xf>
    <xf numFmtId="49" fontId="12" fillId="0" borderId="30" xfId="0" applyNumberFormat="1" applyFont="1" applyBorder="1" applyAlignment="1">
      <alignment horizontal="left" vertical="center" wrapText="1"/>
    </xf>
    <xf numFmtId="0" fontId="96" fillId="0" borderId="10" xfId="0" applyFont="1" applyBorder="1" applyAlignment="1">
      <alignment horizontal="right" vertical="center"/>
    </xf>
    <xf numFmtId="0" fontId="96" fillId="0" borderId="24" xfId="0" applyFont="1" applyBorder="1" applyAlignment="1">
      <alignment horizontal="right" vertical="center"/>
    </xf>
    <xf numFmtId="171" fontId="93" fillId="0" borderId="81" xfId="0" applyNumberFormat="1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right" vertical="center"/>
    </xf>
    <xf numFmtId="3" fontId="93" fillId="0" borderId="81" xfId="0" applyNumberFormat="1" applyFont="1" applyBorder="1" applyAlignment="1">
      <alignment horizontal="center" vertical="center"/>
    </xf>
    <xf numFmtId="169" fontId="7" fillId="0" borderId="0" xfId="0" applyNumberFormat="1" applyFont="1" applyAlignment="1">
      <alignment horizontal="center"/>
    </xf>
    <xf numFmtId="4" fontId="39" fillId="0" borderId="14" xfId="112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Border="1" applyAlignment="1">
      <alignment vertical="center"/>
    </xf>
    <xf numFmtId="0" fontId="73" fillId="0" borderId="14" xfId="91" applyFont="1" applyFill="1" applyBorder="1" applyAlignment="1">
      <alignment horizontal="left" vertical="center"/>
      <protection/>
    </xf>
    <xf numFmtId="169" fontId="38" fillId="0" borderId="14" xfId="112" applyNumberFormat="1" applyFont="1" applyFill="1" applyBorder="1" applyAlignment="1" applyProtection="1">
      <alignment horizontal="center" vertical="center"/>
      <protection/>
    </xf>
    <xf numFmtId="201" fontId="28" fillId="3" borderId="62" xfId="82" applyNumberFormat="1" applyFont="1" applyFill="1" applyBorder="1" applyAlignment="1">
      <alignment horizontal="right" vertical="top" wrapText="1"/>
      <protection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174" fontId="0" fillId="0" borderId="0" xfId="0" applyNumberFormat="1" applyAlignment="1">
      <alignment/>
    </xf>
    <xf numFmtId="4" fontId="0" fillId="45" borderId="14" xfId="0" applyNumberFormat="1" applyFill="1" applyBorder="1" applyAlignment="1">
      <alignment/>
    </xf>
    <xf numFmtId="4" fontId="0" fillId="45" borderId="14" xfId="0" applyNumberFormat="1" applyFont="1" applyFill="1" applyBorder="1" applyAlignment="1">
      <alignment horizontal="center" vertical="center" wrapText="1"/>
    </xf>
    <xf numFmtId="4" fontId="0" fillId="45" borderId="14" xfId="0" applyNumberFormat="1" applyFont="1" applyFill="1" applyBorder="1" applyAlignment="1">
      <alignment/>
    </xf>
    <xf numFmtId="0" fontId="0" fillId="45" borderId="14" xfId="0" applyFill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/>
    </xf>
    <xf numFmtId="4" fontId="50" fillId="48" borderId="14" xfId="82" applyNumberFormat="1" applyFont="1" applyFill="1" applyBorder="1" applyAlignment="1">
      <alignment vertical="center" wrapText="1"/>
      <protection/>
    </xf>
    <xf numFmtId="2" fontId="50" fillId="17" borderId="14" xfId="82" applyNumberFormat="1" applyFont="1" applyFill="1" applyBorder="1" applyAlignment="1">
      <alignment vertical="center" wrapText="1"/>
      <protection/>
    </xf>
    <xf numFmtId="4" fontId="50" fillId="49" borderId="14" xfId="82" applyNumberFormat="1" applyFont="1" applyFill="1" applyBorder="1" applyAlignment="1">
      <alignment horizontal="right" vertical="center" wrapText="1"/>
      <protection/>
    </xf>
    <xf numFmtId="0" fontId="35" fillId="0" borderId="13" xfId="0" applyFont="1" applyBorder="1" applyAlignment="1">
      <alignment wrapText="1"/>
    </xf>
    <xf numFmtId="0" fontId="0" fillId="0" borderId="11" xfId="0" applyFont="1" applyBorder="1" applyAlignment="1">
      <alignment horizontal="center" wrapText="1"/>
    </xf>
    <xf numFmtId="172" fontId="35" fillId="0" borderId="11" xfId="0" applyNumberFormat="1" applyFont="1" applyBorder="1" applyAlignment="1">
      <alignment/>
    </xf>
    <xf numFmtId="1" fontId="0" fillId="0" borderId="11" xfId="105" applyNumberFormat="1" applyFont="1" applyBorder="1" applyAlignment="1">
      <alignment/>
    </xf>
    <xf numFmtId="171" fontId="64" fillId="0" borderId="11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0" fillId="45" borderId="10" xfId="0" applyFill="1" applyBorder="1" applyAlignment="1">
      <alignment horizontal="right"/>
    </xf>
    <xf numFmtId="4" fontId="0" fillId="45" borderId="12" xfId="0" applyNumberFormat="1" applyFont="1" applyFill="1" applyBorder="1" applyAlignment="1">
      <alignment/>
    </xf>
    <xf numFmtId="0" fontId="35" fillId="0" borderId="10" xfId="0" applyFont="1" applyBorder="1" applyAlignment="1">
      <alignment vertical="center"/>
    </xf>
    <xf numFmtId="169" fontId="90" fillId="45" borderId="14" xfId="0" applyNumberFormat="1" applyFont="1" applyFill="1" applyBorder="1" applyAlignment="1">
      <alignment horizontal="right"/>
    </xf>
    <xf numFmtId="169" fontId="90" fillId="45" borderId="12" xfId="0" applyNumberFormat="1" applyFont="1" applyFill="1" applyBorder="1" applyAlignment="1">
      <alignment horizontal="right"/>
    </xf>
    <xf numFmtId="4" fontId="104" fillId="45" borderId="14" xfId="0" applyNumberFormat="1" applyFont="1" applyFill="1" applyBorder="1" applyAlignment="1">
      <alignment horizontal="right" vertical="center" wrapText="1"/>
    </xf>
    <xf numFmtId="0" fontId="35" fillId="45" borderId="14" xfId="0" applyFont="1" applyFill="1" applyBorder="1" applyAlignment="1">
      <alignment horizontal="center" vertical="center" wrapText="1"/>
    </xf>
    <xf numFmtId="171" fontId="105" fillId="0" borderId="14" xfId="0" applyNumberFormat="1" applyFont="1" applyFill="1" applyBorder="1" applyAlignment="1">
      <alignment/>
    </xf>
    <xf numFmtId="1" fontId="30" fillId="0" borderId="0" xfId="105" applyNumberFormat="1" applyFont="1" applyFill="1" applyAlignment="1">
      <alignment horizontal="center"/>
    </xf>
    <xf numFmtId="183" fontId="12" fillId="0" borderId="14" xfId="105" applyNumberFormat="1" applyFont="1" applyBorder="1" applyAlignment="1">
      <alignment horizontal="center"/>
    </xf>
    <xf numFmtId="4" fontId="27" fillId="0" borderId="14" xfId="0" applyNumberFormat="1" applyFont="1" applyFill="1" applyBorder="1" applyAlignment="1">
      <alignment/>
    </xf>
    <xf numFmtId="168" fontId="26" fillId="0" borderId="14" xfId="74" applyNumberFormat="1" applyFont="1" applyFill="1" applyBorder="1" applyAlignment="1" applyProtection="1">
      <alignment horizontal="center" vertical="center" wrapText="1"/>
      <protection/>
    </xf>
    <xf numFmtId="0" fontId="26" fillId="0" borderId="14" xfId="0" applyFont="1" applyFill="1" applyBorder="1" applyAlignment="1" applyProtection="1">
      <alignment horizontal="left" vertical="center" wrapText="1" indent="1"/>
      <protection/>
    </xf>
    <xf numFmtId="49" fontId="27" fillId="0" borderId="14" xfId="92" applyNumberFormat="1" applyFont="1" applyFill="1" applyBorder="1" applyAlignment="1" applyProtection="1">
      <alignment horizontal="left" vertical="center" wrapText="1"/>
      <protection/>
    </xf>
    <xf numFmtId="4" fontId="60" fillId="0" borderId="14" xfId="0" applyNumberFormat="1" applyFont="1" applyFill="1" applyBorder="1" applyAlignment="1">
      <alignment horizontal="center"/>
    </xf>
    <xf numFmtId="4" fontId="30" fillId="0" borderId="14" xfId="92" applyNumberFormat="1" applyFont="1" applyFill="1" applyBorder="1" applyAlignment="1" applyProtection="1">
      <alignment horizontal="center" vertical="center" wrapText="1"/>
      <protection locked="0"/>
    </xf>
    <xf numFmtId="49" fontId="26" fillId="0" borderId="14" xfId="0" applyNumberFormat="1" applyFont="1" applyFill="1" applyBorder="1" applyAlignment="1" applyProtection="1">
      <alignment horizontal="left" vertical="center" wrapText="1"/>
      <protection/>
    </xf>
    <xf numFmtId="4" fontId="37" fillId="0" borderId="0" xfId="92" applyNumberFormat="1" applyFont="1" applyFill="1" applyBorder="1" applyAlignment="1" applyProtection="1">
      <alignment horizontal="center" vertical="center" wrapText="1"/>
      <protection/>
    </xf>
    <xf numFmtId="4" fontId="26" fillId="0" borderId="14" xfId="105" applyNumberFormat="1" applyFont="1" applyFill="1" applyBorder="1" applyAlignment="1" applyProtection="1">
      <alignment horizontal="center" vertical="center" wrapText="1"/>
      <protection/>
    </xf>
    <xf numFmtId="4" fontId="60" fillId="0" borderId="0" xfId="0" applyNumberFormat="1" applyFont="1" applyFill="1" applyBorder="1" applyAlignment="1">
      <alignment horizontal="center"/>
    </xf>
    <xf numFmtId="4" fontId="27" fillId="0" borderId="0" xfId="0" applyNumberFormat="1" applyFont="1" applyFill="1" applyBorder="1" applyAlignment="1">
      <alignment horizontal="center"/>
    </xf>
    <xf numFmtId="4" fontId="27" fillId="0" borderId="14" xfId="105" applyNumberFormat="1" applyFont="1" applyFill="1" applyBorder="1" applyAlignment="1" applyProtection="1">
      <alignment horizontal="center" vertical="center" wrapText="1"/>
      <protection/>
    </xf>
    <xf numFmtId="4" fontId="27" fillId="0" borderId="0" xfId="0" applyNumberFormat="1" applyFont="1" applyFill="1" applyBorder="1" applyAlignment="1">
      <alignment/>
    </xf>
    <xf numFmtId="4" fontId="24" fillId="0" borderId="0" xfId="85" applyNumberFormat="1" applyFont="1" applyFill="1" applyBorder="1" applyAlignment="1" applyProtection="1">
      <alignment horizontal="right" vertical="center" wrapText="1"/>
      <protection/>
    </xf>
    <xf numFmtId="4" fontId="60" fillId="0" borderId="14" xfId="0" applyNumberFormat="1" applyFont="1" applyFill="1" applyBorder="1" applyAlignment="1">
      <alignment horizontal="right"/>
    </xf>
    <xf numFmtId="4" fontId="60" fillId="0" borderId="0" xfId="0" applyNumberFormat="1" applyFont="1" applyFill="1" applyBorder="1" applyAlignment="1">
      <alignment horizontal="right"/>
    </xf>
    <xf numFmtId="4" fontId="24" fillId="0" borderId="14" xfId="0" applyNumberFormat="1" applyFont="1" applyFill="1" applyBorder="1" applyAlignment="1">
      <alignment horizontal="center"/>
    </xf>
    <xf numFmtId="4" fontId="7" fillId="0" borderId="14" xfId="92" applyNumberFormat="1" applyFont="1" applyFill="1" applyBorder="1" applyAlignment="1" applyProtection="1">
      <alignment horizontal="center" vertical="center" wrapText="1"/>
      <protection/>
    </xf>
    <xf numFmtId="4" fontId="7" fillId="0" borderId="14" xfId="0" applyNumberFormat="1" applyFont="1" applyFill="1" applyBorder="1" applyAlignment="1">
      <alignment horizontal="center" vertical="center"/>
    </xf>
    <xf numFmtId="4" fontId="7" fillId="0" borderId="14" xfId="85" applyNumberFormat="1" applyFont="1" applyFill="1" applyBorder="1" applyAlignment="1" applyProtection="1">
      <alignment horizontal="center" vertical="center" wrapText="1"/>
      <protection/>
    </xf>
    <xf numFmtId="4" fontId="7" fillId="0" borderId="14" xfId="105" applyNumberFormat="1" applyFont="1" applyFill="1" applyBorder="1" applyAlignment="1" applyProtection="1">
      <alignment horizontal="center" vertical="center" wrapText="1"/>
      <protection/>
    </xf>
    <xf numFmtId="4" fontId="7" fillId="0" borderId="14" xfId="0" applyNumberFormat="1" applyFont="1" applyFill="1" applyBorder="1" applyAlignment="1">
      <alignment/>
    </xf>
    <xf numFmtId="4" fontId="21" fillId="0" borderId="14" xfId="92" applyNumberFormat="1" applyFont="1" applyFill="1" applyBorder="1" applyAlignment="1" applyProtection="1">
      <alignment horizontal="right" vertical="center" wrapText="1"/>
      <protection locked="0"/>
    </xf>
    <xf numFmtId="4" fontId="21" fillId="0" borderId="14" xfId="0" applyNumberFormat="1" applyFont="1" applyFill="1" applyBorder="1" applyAlignment="1">
      <alignment horizontal="center"/>
    </xf>
    <xf numFmtId="4" fontId="21" fillId="0" borderId="14" xfId="0" applyNumberFormat="1" applyFont="1" applyFill="1" applyBorder="1" applyAlignment="1">
      <alignment horizontal="right"/>
    </xf>
    <xf numFmtId="4" fontId="21" fillId="0" borderId="14" xfId="85" applyNumberFormat="1" applyFont="1" applyFill="1" applyBorder="1" applyAlignment="1" applyProtection="1">
      <alignment horizontal="right" vertical="center" wrapText="1"/>
      <protection/>
    </xf>
    <xf numFmtId="4" fontId="67" fillId="0" borderId="14" xfId="92" applyNumberFormat="1" applyFont="1" applyFill="1" applyBorder="1" applyAlignment="1" applyProtection="1">
      <alignment horizontal="right" vertical="center" wrapText="1"/>
      <protection/>
    </xf>
    <xf numFmtId="4" fontId="21" fillId="0" borderId="14" xfId="92" applyNumberFormat="1" applyFont="1" applyFill="1" applyBorder="1" applyAlignment="1" applyProtection="1">
      <alignment horizontal="right" vertical="center" wrapText="1"/>
      <protection/>
    </xf>
    <xf numFmtId="1" fontId="41" fillId="0" borderId="0" xfId="105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4" fontId="7" fillId="0" borderId="14" xfId="92" applyNumberFormat="1" applyFont="1" applyFill="1" applyBorder="1" applyAlignment="1" applyProtection="1">
      <alignment horizontal="right" vertical="center" wrapText="1"/>
      <protection locked="0"/>
    </xf>
    <xf numFmtId="4" fontId="7" fillId="0" borderId="14" xfId="85" applyNumberFormat="1" applyFont="1" applyFill="1" applyBorder="1" applyAlignment="1" applyProtection="1">
      <alignment horizontal="right" vertical="center" wrapText="1"/>
      <protection/>
    </xf>
    <xf numFmtId="4" fontId="106" fillId="0" borderId="14" xfId="85" applyNumberFormat="1" applyFont="1" applyFill="1" applyBorder="1" applyAlignment="1" applyProtection="1">
      <alignment horizontal="right" vertical="center" wrapText="1"/>
      <protection/>
    </xf>
    <xf numFmtId="4" fontId="21" fillId="0" borderId="14" xfId="92" applyNumberFormat="1" applyFont="1" applyFill="1" applyBorder="1" applyAlignment="1" applyProtection="1">
      <alignment horizontal="center" vertical="center" wrapText="1"/>
      <protection locked="0"/>
    </xf>
    <xf numFmtId="168" fontId="7" fillId="0" borderId="14" xfId="74" applyNumberFormat="1" applyFont="1" applyFill="1" applyBorder="1" applyAlignment="1" applyProtection="1">
      <alignment horizontal="center" vertical="center" wrapText="1"/>
      <protection/>
    </xf>
    <xf numFmtId="0" fontId="7" fillId="0" borderId="14" xfId="73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49" fontId="7" fillId="0" borderId="14" xfId="80" applyNumberFormat="1" applyFont="1" applyFill="1" applyBorder="1" applyAlignment="1" applyProtection="1">
      <alignment horizontal="center" vertical="center" wrapText="1"/>
      <protection/>
    </xf>
    <xf numFmtId="49" fontId="7" fillId="0" borderId="14" xfId="92" applyNumberFormat="1" applyFont="1" applyFill="1" applyBorder="1" applyAlignment="1" applyProtection="1">
      <alignment horizontal="center" vertical="center" wrapText="1"/>
      <protection/>
    </xf>
    <xf numFmtId="9" fontId="7" fillId="0" borderId="14" xfId="0" applyNumberFormat="1" applyFont="1" applyFill="1" applyBorder="1" applyAlignment="1" applyProtection="1">
      <alignment horizontal="center" vertical="center" wrapText="1"/>
      <protection/>
    </xf>
    <xf numFmtId="10" fontId="7" fillId="0" borderId="14" xfId="92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49" fontId="21" fillId="0" borderId="14" xfId="92" applyNumberFormat="1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0" fontId="21" fillId="0" borderId="14" xfId="92" applyNumberFormat="1" applyFont="1" applyFill="1" applyBorder="1" applyAlignment="1" applyProtection="1">
      <alignment horizontal="center" vertical="center" wrapText="1"/>
      <protection/>
    </xf>
    <xf numFmtId="0" fontId="21" fillId="0" borderId="14" xfId="92" applyFont="1" applyFill="1" applyBorder="1" applyAlignment="1" applyProtection="1">
      <alignment horizontal="right" vertical="center" wrapText="1"/>
      <protection/>
    </xf>
    <xf numFmtId="49" fontId="21" fillId="0" borderId="14" xfId="92" applyNumberFormat="1" applyFont="1" applyFill="1" applyBorder="1" applyAlignment="1" applyProtection="1">
      <alignment horizontal="right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168" fontId="7" fillId="0" borderId="14" xfId="0" applyNumberFormat="1" applyFont="1" applyFill="1" applyBorder="1" applyAlignment="1" applyProtection="1">
      <alignment horizontal="center" vertical="center" wrapText="1"/>
      <protection/>
    </xf>
    <xf numFmtId="168" fontId="21" fillId="0" borderId="14" xfId="0" applyNumberFormat="1" applyFont="1" applyFill="1" applyBorder="1" applyAlignment="1" applyProtection="1">
      <alignment horizontal="right" vertical="center" wrapText="1"/>
      <protection/>
    </xf>
    <xf numFmtId="1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41" fillId="0" borderId="14" xfId="0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>
      <alignment horizontal="center" vertical="center"/>
    </xf>
    <xf numFmtId="4" fontId="7" fillId="0" borderId="14" xfId="0" applyNumberFormat="1" applyFont="1" applyFill="1" applyBorder="1" applyAlignment="1">
      <alignment horizontal="right"/>
    </xf>
    <xf numFmtId="4" fontId="21" fillId="0" borderId="14" xfId="0" applyNumberFormat="1" applyFont="1" applyFill="1" applyBorder="1" applyAlignment="1">
      <alignment horizontal="right" vertical="center"/>
    </xf>
    <xf numFmtId="168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53" fillId="0" borderId="14" xfId="88" applyFont="1" applyFill="1" applyBorder="1" applyAlignment="1">
      <alignment horizontal="center" vertical="center" wrapText="1"/>
      <protection/>
    </xf>
    <xf numFmtId="4" fontId="21" fillId="0" borderId="14" xfId="0" applyNumberFormat="1" applyFont="1" applyFill="1" applyBorder="1" applyAlignment="1">
      <alignment horizontal="center" vertical="center"/>
    </xf>
    <xf numFmtId="171" fontId="21" fillId="0" borderId="14" xfId="85" applyNumberFormat="1" applyFont="1" applyFill="1" applyBorder="1" applyAlignment="1" applyProtection="1">
      <alignment horizontal="right" vertical="center" wrapText="1"/>
      <protection/>
    </xf>
    <xf numFmtId="4" fontId="26" fillId="0" borderId="14" xfId="0" applyNumberFormat="1" applyFont="1" applyFill="1" applyBorder="1" applyAlignment="1">
      <alignment horizontal="right"/>
    </xf>
    <xf numFmtId="4" fontId="60" fillId="0" borderId="77" xfId="85" applyNumberFormat="1" applyFont="1" applyFill="1" applyBorder="1" applyAlignment="1" applyProtection="1">
      <alignment horizontal="right" vertical="center" wrapText="1"/>
      <protection/>
    </xf>
    <xf numFmtId="4" fontId="26" fillId="0" borderId="77" xfId="0" applyNumberFormat="1" applyFont="1" applyFill="1" applyBorder="1" applyAlignment="1">
      <alignment horizontal="center" vertical="center"/>
    </xf>
    <xf numFmtId="4" fontId="26" fillId="0" borderId="77" xfId="85" applyNumberFormat="1" applyFont="1" applyFill="1" applyBorder="1" applyAlignment="1" applyProtection="1">
      <alignment horizontal="center" vertical="center" wrapText="1"/>
      <protection/>
    </xf>
    <xf numFmtId="4" fontId="26" fillId="0" borderId="14" xfId="0" applyNumberFormat="1" applyFont="1" applyFill="1" applyBorder="1" applyAlignment="1">
      <alignment horizontal="center"/>
    </xf>
    <xf numFmtId="4" fontId="41" fillId="0" borderId="14" xfId="92" applyNumberFormat="1" applyFont="1" applyFill="1" applyBorder="1" applyAlignment="1" applyProtection="1">
      <alignment horizontal="center" vertical="center" wrapText="1"/>
      <protection/>
    </xf>
    <xf numFmtId="4" fontId="7" fillId="0" borderId="20" xfId="92" applyNumberFormat="1" applyFont="1" applyFill="1" applyBorder="1" applyAlignment="1" applyProtection="1">
      <alignment horizontal="center" vertical="center" wrapText="1"/>
      <protection locked="0"/>
    </xf>
    <xf numFmtId="4" fontId="21" fillId="0" borderId="14" xfId="85" applyNumberFormat="1" applyFont="1" applyFill="1" applyBorder="1" applyAlignment="1" applyProtection="1">
      <alignment vertical="center" wrapText="1"/>
      <protection/>
    </xf>
    <xf numFmtId="4" fontId="21" fillId="0" borderId="14" xfId="92" applyNumberFormat="1" applyFont="1" applyFill="1" applyBorder="1" applyAlignment="1" applyProtection="1">
      <alignment vertical="center" wrapText="1"/>
      <protection locked="0"/>
    </xf>
    <xf numFmtId="4" fontId="21" fillId="0" borderId="14" xfId="0" applyNumberFormat="1" applyFont="1" applyFill="1" applyBorder="1" applyAlignment="1">
      <alignment/>
    </xf>
    <xf numFmtId="4" fontId="21" fillId="0" borderId="14" xfId="0" applyNumberFormat="1" applyFont="1" applyFill="1" applyBorder="1" applyAlignment="1">
      <alignment vertical="center"/>
    </xf>
    <xf numFmtId="2" fontId="30" fillId="0" borderId="0" xfId="105" applyNumberFormat="1" applyFont="1" applyFill="1" applyAlignment="1">
      <alignment horizontal="center"/>
    </xf>
    <xf numFmtId="0" fontId="52" fillId="0" borderId="10" xfId="0" applyFont="1" applyFill="1" applyBorder="1" applyAlignment="1" applyProtection="1">
      <alignment horizontal="left" vertical="center" wrapText="1" indent="1"/>
      <protection/>
    </xf>
    <xf numFmtId="0" fontId="52" fillId="0" borderId="10" xfId="92" applyFont="1" applyFill="1" applyBorder="1" applyAlignment="1" applyProtection="1">
      <alignment horizontal="left" vertical="center" wrapText="1"/>
      <protection/>
    </xf>
    <xf numFmtId="49" fontId="52" fillId="0" borderId="10" xfId="0" applyNumberFormat="1" applyFont="1" applyFill="1" applyBorder="1" applyAlignment="1" applyProtection="1">
      <alignment horizontal="left" vertical="center" wrapText="1"/>
      <protection/>
    </xf>
    <xf numFmtId="0" fontId="52" fillId="0" borderId="24" xfId="0" applyFont="1" applyFill="1" applyBorder="1" applyAlignment="1" applyProtection="1">
      <alignment vertical="center" wrapText="1"/>
      <protection/>
    </xf>
    <xf numFmtId="0" fontId="52" fillId="0" borderId="21" xfId="0" applyFont="1" applyFill="1" applyBorder="1" applyAlignment="1" applyProtection="1">
      <alignment horizontal="center" vertical="center" wrapText="1"/>
      <protection/>
    </xf>
    <xf numFmtId="4" fontId="51" fillId="0" borderId="21" xfId="92" applyNumberFormat="1" applyFont="1" applyFill="1" applyBorder="1" applyAlignment="1" applyProtection="1">
      <alignment horizontal="center" vertical="center" wrapText="1"/>
      <protection/>
    </xf>
    <xf numFmtId="3" fontId="52" fillId="0" borderId="21" xfId="92" applyNumberFormat="1" applyFont="1" applyFill="1" applyBorder="1" applyAlignment="1" applyProtection="1">
      <alignment horizontal="center" vertical="center" wrapText="1"/>
      <protection locked="0"/>
    </xf>
    <xf numFmtId="4" fontId="52" fillId="0" borderId="21" xfId="92" applyNumberFormat="1" applyFont="1" applyFill="1" applyBorder="1" applyAlignment="1" applyProtection="1">
      <alignment horizontal="center" vertical="center" wrapText="1"/>
      <protection/>
    </xf>
    <xf numFmtId="4" fontId="51" fillId="0" borderId="14" xfId="0" applyNumberFormat="1" applyFont="1" applyFill="1" applyBorder="1" applyAlignment="1" applyProtection="1">
      <alignment horizontal="center" vertical="center" wrapText="1"/>
      <protection/>
    </xf>
    <xf numFmtId="0" fontId="51" fillId="0" borderId="77" xfId="73" applyNumberFormat="1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>
      <alignment horizontal="right"/>
    </xf>
    <xf numFmtId="3" fontId="21" fillId="0" borderId="14" xfId="85" applyNumberFormat="1" applyFont="1" applyFill="1" applyBorder="1" applyAlignment="1" applyProtection="1">
      <alignment horizontal="right" vertical="center" wrapText="1"/>
      <protection/>
    </xf>
    <xf numFmtId="0" fontId="21" fillId="0" borderId="14" xfId="0" applyFont="1" applyFill="1" applyBorder="1" applyAlignment="1" applyProtection="1">
      <alignment horizontal="right" vertical="center" wrapText="1"/>
      <protection/>
    </xf>
    <xf numFmtId="49" fontId="61" fillId="0" borderId="0" xfId="90" applyFont="1" applyBorder="1" applyAlignment="1">
      <alignment vertical="center"/>
      <protection/>
    </xf>
    <xf numFmtId="169" fontId="21" fillId="0" borderId="14" xfId="92" applyNumberFormat="1" applyFont="1" applyFill="1" applyBorder="1" applyAlignment="1" applyProtection="1">
      <alignment horizontal="right" vertical="center" wrapText="1"/>
      <protection locked="0"/>
    </xf>
    <xf numFmtId="169" fontId="21" fillId="0" borderId="14" xfId="105" applyNumberFormat="1" applyFont="1" applyFill="1" applyBorder="1" applyAlignment="1" applyProtection="1">
      <alignment horizontal="right" vertical="center" wrapText="1"/>
      <protection locked="0"/>
    </xf>
    <xf numFmtId="169" fontId="7" fillId="0" borderId="14" xfId="85" applyNumberFormat="1" applyFont="1" applyFill="1" applyBorder="1" applyAlignment="1" applyProtection="1">
      <alignment horizontal="center" vertical="center" wrapText="1"/>
      <protection/>
    </xf>
    <xf numFmtId="171" fontId="7" fillId="0" borderId="14" xfId="85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3" fontId="7" fillId="0" borderId="14" xfId="85" applyNumberFormat="1" applyFont="1" applyFill="1" applyBorder="1" applyAlignment="1" applyProtection="1">
      <alignment horizontal="right" vertical="center" wrapText="1"/>
      <protection/>
    </xf>
    <xf numFmtId="3" fontId="21" fillId="0" borderId="14" xfId="92" applyNumberFormat="1" applyFont="1" applyFill="1" applyBorder="1" applyAlignment="1" applyProtection="1">
      <alignment horizontal="right" vertical="center" wrapText="1"/>
      <protection locked="0"/>
    </xf>
    <xf numFmtId="169" fontId="7" fillId="0" borderId="14" xfId="85" applyNumberFormat="1" applyFont="1" applyFill="1" applyBorder="1" applyAlignment="1" applyProtection="1">
      <alignment horizontal="right" vertical="center" wrapText="1"/>
      <protection/>
    </xf>
    <xf numFmtId="0" fontId="7" fillId="0" borderId="14" xfId="0" applyFont="1" applyFill="1" applyBorder="1" applyAlignment="1">
      <alignment horizontal="right"/>
    </xf>
    <xf numFmtId="169" fontId="7" fillId="0" borderId="14" xfId="92" applyNumberFormat="1" applyFont="1" applyFill="1" applyBorder="1" applyAlignment="1" applyProtection="1">
      <alignment horizontal="right" vertical="center" wrapText="1"/>
      <protection locked="0"/>
    </xf>
    <xf numFmtId="169" fontId="21" fillId="0" borderId="14" xfId="85" applyNumberFormat="1" applyFont="1" applyFill="1" applyBorder="1" applyAlignment="1" applyProtection="1">
      <alignment horizontal="right" vertical="center" wrapText="1"/>
      <protection/>
    </xf>
    <xf numFmtId="10" fontId="53" fillId="0" borderId="14" xfId="92" applyNumberFormat="1" applyFont="1" applyFill="1" applyBorder="1" applyAlignment="1" applyProtection="1">
      <alignment horizontal="center" vertical="center" wrapText="1"/>
      <protection/>
    </xf>
    <xf numFmtId="3" fontId="7" fillId="0" borderId="14" xfId="85" applyNumberFormat="1" applyFont="1" applyFill="1" applyBorder="1" applyAlignment="1" applyProtection="1">
      <alignment horizontal="center" vertical="center" wrapText="1"/>
      <protection/>
    </xf>
    <xf numFmtId="2" fontId="7" fillId="0" borderId="14" xfId="0" applyNumberFormat="1" applyFont="1" applyFill="1" applyBorder="1" applyAlignment="1">
      <alignment horizontal="right"/>
    </xf>
    <xf numFmtId="49" fontId="21" fillId="0" borderId="10" xfId="92" applyNumberFormat="1" applyFont="1" applyFill="1" applyBorder="1" applyAlignment="1" applyProtection="1">
      <alignment horizontal="right" vertical="center" wrapText="1"/>
      <protection/>
    </xf>
    <xf numFmtId="168" fontId="21" fillId="0" borderId="14" xfId="0" applyNumberFormat="1" applyFont="1" applyFill="1" applyBorder="1" applyAlignment="1" applyProtection="1">
      <alignment horizontal="center" vertical="center" wrapText="1"/>
      <protection/>
    </xf>
    <xf numFmtId="3" fontId="21" fillId="0" borderId="14" xfId="92" applyNumberFormat="1" applyFont="1" applyFill="1" applyBorder="1" applyAlignment="1" applyProtection="1">
      <alignment horizontal="center" vertical="center" wrapText="1"/>
      <protection locked="0"/>
    </xf>
    <xf numFmtId="3" fontId="21" fillId="0" borderId="14" xfId="85" applyNumberFormat="1" applyFont="1" applyFill="1" applyBorder="1" applyAlignment="1" applyProtection="1">
      <alignment horizontal="center" vertical="center" wrapText="1"/>
      <protection/>
    </xf>
    <xf numFmtId="3" fontId="21" fillId="0" borderId="14" xfId="92" applyNumberFormat="1" applyFont="1" applyFill="1" applyBorder="1" applyAlignment="1" applyProtection="1">
      <alignment vertical="center" wrapText="1"/>
      <protection locked="0"/>
    </xf>
    <xf numFmtId="3" fontId="21" fillId="0" borderId="14" xfId="85" applyNumberFormat="1" applyFont="1" applyFill="1" applyBorder="1" applyAlignment="1" applyProtection="1">
      <alignment vertical="center" wrapText="1"/>
      <protection/>
    </xf>
    <xf numFmtId="3" fontId="21" fillId="0" borderId="14" xfId="0" applyNumberFormat="1" applyFont="1" applyFill="1" applyBorder="1" applyAlignment="1">
      <alignment vertical="center"/>
    </xf>
    <xf numFmtId="0" fontId="6" fillId="0" borderId="82" xfId="83" applyFont="1" applyBorder="1" applyAlignment="1">
      <alignment vertical="center" wrapText="1"/>
      <protection/>
    </xf>
    <xf numFmtId="0" fontId="1" fillId="0" borderId="80" xfId="75" applyBorder="1" applyAlignment="1">
      <alignment/>
      <protection/>
    </xf>
    <xf numFmtId="0" fontId="1" fillId="0" borderId="77" xfId="75" applyBorder="1" applyAlignment="1">
      <alignment/>
      <protection/>
    </xf>
    <xf numFmtId="4" fontId="51" fillId="0" borderId="14" xfId="85" applyNumberFormat="1" applyFont="1" applyFill="1" applyBorder="1" applyAlignment="1" applyProtection="1">
      <alignment vertical="center" wrapText="1"/>
      <protection/>
    </xf>
    <xf numFmtId="0" fontId="21" fillId="0" borderId="14" xfId="0" applyFont="1" applyFill="1" applyBorder="1" applyAlignment="1">
      <alignment/>
    </xf>
    <xf numFmtId="10" fontId="7" fillId="0" borderId="14" xfId="105" applyNumberFormat="1" applyFont="1" applyFill="1" applyBorder="1" applyAlignment="1" applyProtection="1">
      <alignment horizontal="center" vertical="center" wrapText="1"/>
      <protection/>
    </xf>
    <xf numFmtId="2" fontId="21" fillId="0" borderId="14" xfId="0" applyNumberFormat="1" applyFont="1" applyFill="1" applyBorder="1" applyAlignment="1">
      <alignment/>
    </xf>
    <xf numFmtId="0" fontId="94" fillId="52" borderId="10" xfId="0" applyFont="1" applyFill="1" applyBorder="1" applyAlignment="1">
      <alignment horizontal="left" vertical="center" wrapText="1"/>
    </xf>
    <xf numFmtId="0" fontId="94" fillId="52" borderId="14" xfId="0" applyFont="1" applyFill="1" applyBorder="1" applyAlignment="1">
      <alignment horizontal="center" vertical="center"/>
    </xf>
    <xf numFmtId="4" fontId="94" fillId="52" borderId="14" xfId="0" applyNumberFormat="1" applyFont="1" applyFill="1" applyBorder="1" applyAlignment="1">
      <alignment horizontal="center" vertical="center"/>
    </xf>
    <xf numFmtId="4" fontId="93" fillId="52" borderId="14" xfId="0" applyNumberFormat="1" applyFont="1" applyFill="1" applyBorder="1" applyAlignment="1">
      <alignment horizontal="center" vertical="center"/>
    </xf>
    <xf numFmtId="4" fontId="93" fillId="52" borderId="81" xfId="0" applyNumberFormat="1" applyFont="1" applyFill="1" applyBorder="1" applyAlignment="1">
      <alignment horizontal="center" vertical="center"/>
    </xf>
    <xf numFmtId="0" fontId="94" fillId="52" borderId="12" xfId="0" applyFont="1" applyFill="1" applyBorder="1" applyAlignment="1">
      <alignment vertical="center" wrapText="1"/>
    </xf>
    <xf numFmtId="4" fontId="52" fillId="52" borderId="14" xfId="92" applyNumberFormat="1" applyFont="1" applyFill="1" applyBorder="1" applyAlignment="1" applyProtection="1">
      <alignment horizontal="center" vertical="center" wrapText="1"/>
      <protection locked="0"/>
    </xf>
    <xf numFmtId="2" fontId="153" fillId="0" borderId="0" xfId="0" applyNumberFormat="1" applyFont="1" applyFill="1" applyBorder="1" applyAlignment="1" applyProtection="1">
      <alignment horizontal="left" vertical="center" wrapText="1"/>
      <protection/>
    </xf>
    <xf numFmtId="4" fontId="154" fillId="0" borderId="14" xfId="92" applyNumberFormat="1" applyFont="1" applyFill="1" applyBorder="1" applyAlignment="1" applyProtection="1">
      <alignment horizontal="center" vertical="center" wrapText="1"/>
      <protection/>
    </xf>
    <xf numFmtId="9" fontId="26" fillId="0" borderId="14" xfId="105" applyFont="1" applyBorder="1" applyAlignment="1">
      <alignment horizontal="center" vertical="center" wrapText="1"/>
    </xf>
    <xf numFmtId="4" fontId="42" fillId="0" borderId="14" xfId="92" applyNumberFormat="1" applyFont="1" applyFill="1" applyBorder="1" applyAlignment="1" applyProtection="1">
      <alignment vertical="center" wrapText="1"/>
      <protection locked="0"/>
    </xf>
    <xf numFmtId="172" fontId="21" fillId="0" borderId="14" xfId="92" applyNumberFormat="1" applyFont="1" applyFill="1" applyBorder="1" applyAlignment="1" applyProtection="1">
      <alignment vertical="center" wrapText="1"/>
      <protection locked="0"/>
    </xf>
    <xf numFmtId="9" fontId="27" fillId="0" borderId="14" xfId="105" applyFont="1" applyBorder="1" applyAlignment="1">
      <alignment horizontal="center" vertical="center" wrapText="1"/>
    </xf>
    <xf numFmtId="174" fontId="30" fillId="0" borderId="0" xfId="105" applyNumberFormat="1" applyFont="1" applyFill="1" applyAlignment="1">
      <alignment horizontal="center"/>
    </xf>
    <xf numFmtId="0" fontId="153" fillId="0" borderId="30" xfId="88" applyFont="1" applyFill="1" applyBorder="1" applyAlignment="1">
      <alignment horizontal="center" vertical="center" wrapText="1"/>
      <protection/>
    </xf>
    <xf numFmtId="171" fontId="7" fillId="0" borderId="14" xfId="92" applyNumberFormat="1" applyFont="1" applyFill="1" applyBorder="1" applyAlignment="1" applyProtection="1">
      <alignment horizontal="center" vertical="center" wrapText="1"/>
      <protection/>
    </xf>
    <xf numFmtId="175" fontId="51" fillId="0" borderId="14" xfId="0" applyNumberFormat="1" applyFont="1" applyFill="1" applyBorder="1" applyAlignment="1">
      <alignment horizontal="center" vertical="center"/>
    </xf>
    <xf numFmtId="175" fontId="51" fillId="0" borderId="14" xfId="0" applyNumberFormat="1" applyFont="1" applyFill="1" applyBorder="1" applyAlignment="1">
      <alignment/>
    </xf>
    <xf numFmtId="2" fontId="51" fillId="0" borderId="14" xfId="85" applyNumberFormat="1" applyFont="1" applyFill="1" applyBorder="1" applyAlignment="1" applyProtection="1">
      <alignment horizontal="center" vertical="center" wrapText="1"/>
      <protection/>
    </xf>
    <xf numFmtId="175" fontId="51" fillId="0" borderId="14" xfId="85" applyNumberFormat="1" applyFont="1" applyFill="1" applyBorder="1" applyAlignment="1" applyProtection="1">
      <alignment horizontal="center" vertical="center" wrapText="1"/>
      <protection/>
    </xf>
    <xf numFmtId="175" fontId="51" fillId="0" borderId="14" xfId="0" applyNumberFormat="1" applyFont="1" applyFill="1" applyBorder="1" applyAlignment="1">
      <alignment horizontal="center"/>
    </xf>
    <xf numFmtId="175" fontId="7" fillId="0" borderId="14" xfId="0" applyNumberFormat="1" applyFont="1" applyFill="1" applyBorder="1" applyAlignment="1">
      <alignment horizontal="center"/>
    </xf>
    <xf numFmtId="175" fontId="51" fillId="0" borderId="14" xfId="0" applyNumberFormat="1" applyFont="1" applyFill="1" applyBorder="1" applyAlignment="1">
      <alignment horizontal="right" vertical="center"/>
    </xf>
    <xf numFmtId="175" fontId="27" fillId="0" borderId="81" xfId="0" applyNumberFormat="1" applyFont="1" applyFill="1" applyBorder="1" applyAlignment="1">
      <alignment horizontal="right" vertical="center"/>
    </xf>
    <xf numFmtId="175" fontId="51" fillId="0" borderId="81" xfId="0" applyNumberFormat="1" applyFont="1" applyFill="1" applyBorder="1" applyAlignment="1">
      <alignment/>
    </xf>
    <xf numFmtId="0" fontId="51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175" fontId="27" fillId="0" borderId="81" xfId="0" applyNumberFormat="1" applyFont="1" applyFill="1" applyBorder="1" applyAlignment="1">
      <alignment horizontal="center" vertical="center"/>
    </xf>
    <xf numFmtId="175" fontId="51" fillId="0" borderId="81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168" fontId="51" fillId="0" borderId="81" xfId="105" applyNumberFormat="1" applyFont="1" applyFill="1" applyBorder="1" applyAlignment="1">
      <alignment/>
    </xf>
    <xf numFmtId="9" fontId="51" fillId="0" borderId="81" xfId="105" applyFont="1" applyFill="1" applyBorder="1" applyAlignment="1">
      <alignment horizontal="right" vertical="center"/>
    </xf>
    <xf numFmtId="0" fontId="27" fillId="0" borderId="26" xfId="0" applyFont="1" applyFill="1" applyBorder="1" applyAlignment="1">
      <alignment horizontal="right" vertical="center" wrapText="1"/>
    </xf>
    <xf numFmtId="0" fontId="7" fillId="0" borderId="26" xfId="73" applyNumberFormat="1" applyFont="1" applyFill="1" applyBorder="1" applyAlignment="1" applyProtection="1">
      <alignment horizontal="center" vertical="center" wrapText="1"/>
      <protection/>
    </xf>
    <xf numFmtId="4" fontId="27" fillId="0" borderId="26" xfId="85" applyNumberFormat="1" applyFont="1" applyFill="1" applyBorder="1" applyAlignment="1" applyProtection="1">
      <alignment horizontal="center" vertical="center" wrapText="1"/>
      <protection/>
    </xf>
    <xf numFmtId="3" fontId="27" fillId="0" borderId="26" xfId="85" applyNumberFormat="1" applyFont="1" applyFill="1" applyBorder="1" applyAlignment="1" applyProtection="1">
      <alignment horizontal="center" vertical="center" wrapText="1"/>
      <protection/>
    </xf>
    <xf numFmtId="169" fontId="26" fillId="0" borderId="26" xfId="85" applyNumberFormat="1" applyFont="1" applyFill="1" applyBorder="1" applyAlignment="1" applyProtection="1">
      <alignment horizontal="center" vertical="center" wrapText="1"/>
      <protection/>
    </xf>
    <xf numFmtId="4" fontId="26" fillId="0" borderId="26" xfId="85" applyNumberFormat="1" applyFont="1" applyFill="1" applyBorder="1" applyAlignment="1" applyProtection="1">
      <alignment horizontal="center" vertical="center" wrapText="1"/>
      <protection/>
    </xf>
    <xf numFmtId="4" fontId="27" fillId="0" borderId="26" xfId="0" applyNumberFormat="1" applyFont="1" applyFill="1" applyBorder="1" applyAlignment="1">
      <alignment horizontal="center" vertical="center"/>
    </xf>
    <xf numFmtId="4" fontId="7" fillId="0" borderId="26" xfId="105" applyNumberFormat="1" applyFont="1" applyFill="1" applyBorder="1" applyAlignment="1">
      <alignment horizontal="center" vertical="center"/>
    </xf>
    <xf numFmtId="4" fontId="27" fillId="0" borderId="26" xfId="105" applyNumberFormat="1" applyFont="1" applyFill="1" applyBorder="1" applyAlignment="1">
      <alignment horizontal="center" vertical="center"/>
    </xf>
    <xf numFmtId="0" fontId="27" fillId="0" borderId="20" xfId="0" applyFont="1" applyFill="1" applyBorder="1" applyAlignment="1" applyProtection="1">
      <alignment horizontal="right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3" fontId="27" fillId="0" borderId="20" xfId="85" applyNumberFormat="1" applyFont="1" applyFill="1" applyBorder="1" applyAlignment="1" applyProtection="1">
      <alignment horizontal="center" vertical="center" wrapText="1"/>
      <protection/>
    </xf>
    <xf numFmtId="4" fontId="26" fillId="0" borderId="20" xfId="92" applyNumberFormat="1" applyFont="1" applyFill="1" applyBorder="1" applyAlignment="1" applyProtection="1">
      <alignment horizontal="center" vertical="center" wrapText="1"/>
      <protection locked="0"/>
    </xf>
    <xf numFmtId="4" fontId="21" fillId="0" borderId="20" xfId="0" applyNumberFormat="1" applyFont="1" applyFill="1" applyBorder="1" applyAlignment="1">
      <alignment vertical="center"/>
    </xf>
    <xf numFmtId="4" fontId="21" fillId="0" borderId="20" xfId="92" applyNumberFormat="1" applyFont="1" applyFill="1" applyBorder="1" applyAlignment="1" applyProtection="1">
      <alignment vertical="center" wrapText="1"/>
      <protection locked="0"/>
    </xf>
    <xf numFmtId="4" fontId="21" fillId="0" borderId="20" xfId="85" applyNumberFormat="1" applyFont="1" applyFill="1" applyBorder="1" applyAlignment="1" applyProtection="1">
      <alignment vertical="center" wrapText="1"/>
      <protection/>
    </xf>
    <xf numFmtId="4" fontId="27" fillId="0" borderId="20" xfId="85" applyNumberFormat="1" applyFont="1" applyFill="1" applyBorder="1" applyAlignment="1" applyProtection="1">
      <alignment horizontal="center" vertical="center" wrapText="1"/>
      <protection/>
    </xf>
    <xf numFmtId="0" fontId="52" fillId="0" borderId="13" xfId="0" applyFont="1" applyFill="1" applyBorder="1" applyAlignment="1">
      <alignment horizontal="left" vertical="center"/>
    </xf>
    <xf numFmtId="0" fontId="52" fillId="0" borderId="108" xfId="0" applyFont="1" applyFill="1" applyBorder="1" applyAlignment="1">
      <alignment/>
    </xf>
    <xf numFmtId="0" fontId="52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/>
    </xf>
    <xf numFmtId="0" fontId="52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175" fontId="52" fillId="0" borderId="11" xfId="0" applyNumberFormat="1" applyFont="1" applyFill="1" applyBorder="1" applyAlignment="1">
      <alignment horizontal="center" vertical="center"/>
    </xf>
    <xf numFmtId="175" fontId="51" fillId="0" borderId="11" xfId="0" applyNumberFormat="1" applyFont="1" applyFill="1" applyBorder="1" applyAlignment="1">
      <alignment horizontal="center" vertical="center"/>
    </xf>
    <xf numFmtId="0" fontId="51" fillId="0" borderId="10" xfId="73" applyNumberFormat="1" applyFont="1" applyFill="1" applyBorder="1" applyAlignment="1" applyProtection="1">
      <alignment horizontal="left" vertical="center"/>
      <protection/>
    </xf>
    <xf numFmtId="0" fontId="51" fillId="0" borderId="0" xfId="0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6" fillId="0" borderId="10" xfId="0" applyFont="1" applyFill="1" applyBorder="1" applyAlignment="1" applyProtection="1">
      <alignment horizontal="left" vertical="center" wrapText="1"/>
      <protection/>
    </xf>
    <xf numFmtId="0" fontId="27" fillId="0" borderId="10" xfId="0" applyFont="1" applyFill="1" applyBorder="1" applyAlignment="1" applyProtection="1">
      <alignment horizontal="right" vertical="center" wrapText="1"/>
      <protection/>
    </xf>
    <xf numFmtId="49" fontId="26" fillId="0" borderId="10" xfId="92" applyNumberFormat="1" applyFont="1" applyFill="1" applyBorder="1" applyAlignment="1" applyProtection="1">
      <alignment horizontal="left" vertical="center" wrapText="1"/>
      <protection/>
    </xf>
    <xf numFmtId="49" fontId="27" fillId="0" borderId="10" xfId="92" applyNumberFormat="1" applyFont="1" applyFill="1" applyBorder="1" applyAlignment="1" applyProtection="1">
      <alignment horizontal="right" vertical="center" wrapText="1" indent="3"/>
      <protection/>
    </xf>
    <xf numFmtId="49" fontId="27" fillId="0" borderId="10" xfId="92" applyNumberFormat="1" applyFont="1" applyFill="1" applyBorder="1" applyAlignment="1" applyProtection="1">
      <alignment horizontal="left" vertical="center" wrapText="1" indent="3"/>
      <protection/>
    </xf>
    <xf numFmtId="0" fontId="27" fillId="0" borderId="10" xfId="92" applyFont="1" applyFill="1" applyBorder="1" applyAlignment="1" applyProtection="1">
      <alignment horizontal="left" vertical="center" wrapText="1" indent="3"/>
      <protection/>
    </xf>
    <xf numFmtId="49" fontId="38" fillId="0" borderId="10" xfId="92" applyNumberFormat="1" applyFont="1" applyFill="1" applyBorder="1" applyAlignment="1" applyProtection="1">
      <alignment horizontal="right" vertical="center" wrapText="1" indent="2"/>
      <protection/>
    </xf>
    <xf numFmtId="49" fontId="60" fillId="0" borderId="10" xfId="92" applyNumberFormat="1" applyFont="1" applyFill="1" applyBorder="1" applyAlignment="1" applyProtection="1">
      <alignment horizontal="right" vertical="center" wrapText="1"/>
      <protection/>
    </xf>
    <xf numFmtId="0" fontId="60" fillId="0" borderId="10" xfId="92" applyFont="1" applyFill="1" applyBorder="1" applyAlignment="1" applyProtection="1">
      <alignment horizontal="right" vertical="center" wrapText="1"/>
      <protection/>
    </xf>
    <xf numFmtId="0" fontId="60" fillId="0" borderId="10" xfId="92" applyFont="1" applyFill="1" applyBorder="1" applyAlignment="1" applyProtection="1">
      <alignment vertical="center" wrapText="1"/>
      <protection/>
    </xf>
    <xf numFmtId="0" fontId="24" fillId="0" borderId="10" xfId="92" applyFont="1" applyFill="1" applyBorder="1" applyAlignment="1" applyProtection="1">
      <alignment horizontal="right" vertical="center" wrapText="1"/>
      <protection/>
    </xf>
    <xf numFmtId="49" fontId="24" fillId="0" borderId="10" xfId="92" applyNumberFormat="1" applyFont="1" applyFill="1" applyBorder="1" applyAlignment="1" applyProtection="1">
      <alignment horizontal="right" vertical="center" wrapText="1"/>
      <protection/>
    </xf>
    <xf numFmtId="49" fontId="60" fillId="0" borderId="10" xfId="92" applyNumberFormat="1" applyFont="1" applyFill="1" applyBorder="1" applyAlignment="1" applyProtection="1">
      <alignment horizontal="left" vertical="center" wrapText="1"/>
      <protection/>
    </xf>
    <xf numFmtId="0" fontId="26" fillId="0" borderId="10" xfId="0" applyNumberFormat="1" applyFont="1" applyFill="1" applyBorder="1" applyAlignment="1" applyProtection="1">
      <alignment horizontal="left" vertical="center" wrapText="1"/>
      <protection/>
    </xf>
    <xf numFmtId="0" fontId="27" fillId="0" borderId="10" xfId="0" applyNumberFormat="1" applyFont="1" applyFill="1" applyBorder="1" applyAlignment="1" applyProtection="1">
      <alignment horizontal="right" vertical="center" wrapText="1" indent="2"/>
      <protection/>
    </xf>
    <xf numFmtId="0" fontId="60" fillId="0" borderId="10" xfId="0" applyFont="1" applyFill="1" applyBorder="1" applyAlignment="1" applyProtection="1">
      <alignment horizontal="right" vertical="center" wrapText="1"/>
      <protection/>
    </xf>
    <xf numFmtId="0" fontId="27" fillId="0" borderId="24" xfId="0" applyFont="1" applyFill="1" applyBorder="1" applyAlignment="1" applyProtection="1">
      <alignment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4" fontId="27" fillId="0" borderId="21" xfId="92" applyNumberFormat="1" applyFont="1" applyFill="1" applyBorder="1" applyAlignment="1" applyProtection="1">
      <alignment horizontal="center" vertical="center" wrapText="1"/>
      <protection locked="0"/>
    </xf>
    <xf numFmtId="3" fontId="27" fillId="0" borderId="21" xfId="85" applyNumberFormat="1" applyFont="1" applyFill="1" applyBorder="1" applyAlignment="1" applyProtection="1">
      <alignment horizontal="center" vertical="center" wrapText="1"/>
      <protection/>
    </xf>
    <xf numFmtId="4" fontId="60" fillId="0" borderId="21" xfId="92" applyNumberFormat="1" applyFont="1" applyFill="1" applyBorder="1" applyAlignment="1" applyProtection="1">
      <alignment horizontal="right" vertical="center" wrapText="1"/>
      <protection locked="0"/>
    </xf>
    <xf numFmtId="4" fontId="21" fillId="0" borderId="14" xfId="85" applyNumberFormat="1" applyFont="1" applyFill="1" applyBorder="1" applyAlignment="1" applyProtection="1">
      <alignment horizontal="center" vertical="center" wrapText="1"/>
      <protection/>
    </xf>
    <xf numFmtId="4" fontId="26" fillId="0" borderId="81" xfId="85" applyNumberFormat="1" applyFont="1" applyFill="1" applyBorder="1" applyAlignment="1" applyProtection="1">
      <alignment horizontal="center" vertical="center" wrapText="1"/>
      <protection/>
    </xf>
    <xf numFmtId="4" fontId="26" fillId="0" borderId="81" xfId="105" applyNumberFormat="1" applyFont="1" applyFill="1" applyBorder="1" applyAlignment="1" applyProtection="1">
      <alignment horizontal="center" vertical="center" wrapText="1"/>
      <protection/>
    </xf>
    <xf numFmtId="4" fontId="26" fillId="0" borderId="81" xfId="92" applyNumberFormat="1" applyFont="1" applyFill="1" applyBorder="1" applyAlignment="1" applyProtection="1">
      <alignment horizontal="center" vertical="center" wrapText="1"/>
      <protection/>
    </xf>
    <xf numFmtId="4" fontId="27" fillId="0" borderId="81" xfId="0" applyNumberFormat="1" applyFont="1" applyFill="1" applyBorder="1" applyAlignment="1">
      <alignment horizontal="center" vertical="center"/>
    </xf>
    <xf numFmtId="4" fontId="27" fillId="0" borderId="98" xfId="105" applyNumberFormat="1" applyFont="1" applyFill="1" applyBorder="1" applyAlignment="1">
      <alignment horizontal="center" vertical="center"/>
    </xf>
    <xf numFmtId="175" fontId="52" fillId="0" borderId="106" xfId="0" applyNumberFormat="1" applyFont="1" applyFill="1" applyBorder="1" applyAlignment="1">
      <alignment horizontal="center" vertical="center"/>
    </xf>
    <xf numFmtId="0" fontId="51" fillId="0" borderId="81" xfId="0" applyFont="1" applyFill="1" applyBorder="1" applyAlignment="1">
      <alignment/>
    </xf>
    <xf numFmtId="4" fontId="26" fillId="0" borderId="81" xfId="92" applyNumberFormat="1" applyFont="1" applyFill="1" applyBorder="1" applyAlignment="1" applyProtection="1">
      <alignment horizontal="center" vertical="center" wrapText="1"/>
      <protection locked="0"/>
    </xf>
    <xf numFmtId="4" fontId="26" fillId="0" borderId="81" xfId="0" applyNumberFormat="1" applyFont="1" applyFill="1" applyBorder="1" applyAlignment="1">
      <alignment horizontal="center" vertical="center"/>
    </xf>
    <xf numFmtId="4" fontId="27" fillId="0" borderId="81" xfId="0" applyNumberFormat="1" applyFont="1" applyFill="1" applyBorder="1" applyAlignment="1">
      <alignment/>
    </xf>
    <xf numFmtId="4" fontId="27" fillId="0" borderId="81" xfId="92" applyNumberFormat="1" applyFont="1" applyFill="1" applyBorder="1" applyAlignment="1" applyProtection="1">
      <alignment horizontal="center" vertical="center" wrapText="1"/>
      <protection locked="0"/>
    </xf>
    <xf numFmtId="4" fontId="27" fillId="0" borderId="81" xfId="85" applyNumberFormat="1" applyFont="1" applyFill="1" applyBorder="1" applyAlignment="1" applyProtection="1">
      <alignment horizontal="center" vertical="center" wrapText="1"/>
      <protection/>
    </xf>
    <xf numFmtId="4" fontId="24" fillId="0" borderId="81" xfId="92" applyNumberFormat="1" applyFont="1" applyFill="1" applyBorder="1" applyAlignment="1" applyProtection="1">
      <alignment horizontal="right" vertical="center" wrapText="1"/>
      <protection locked="0"/>
    </xf>
    <xf numFmtId="4" fontId="24" fillId="0" borderId="81" xfId="85" applyNumberFormat="1" applyFont="1" applyFill="1" applyBorder="1" applyAlignment="1" applyProtection="1">
      <alignment horizontal="right" vertical="center" wrapText="1"/>
      <protection/>
    </xf>
    <xf numFmtId="4" fontId="24" fillId="0" borderId="81" xfId="0" applyNumberFormat="1" applyFont="1" applyFill="1" applyBorder="1" applyAlignment="1">
      <alignment horizontal="center" vertical="center"/>
    </xf>
    <xf numFmtId="4" fontId="60" fillId="0" borderId="81" xfId="92" applyNumberFormat="1" applyFont="1" applyFill="1" applyBorder="1" applyAlignment="1" applyProtection="1">
      <alignment horizontal="right" vertical="center" wrapText="1"/>
      <protection locked="0"/>
    </xf>
    <xf numFmtId="4" fontId="60" fillId="0" borderId="81" xfId="0" applyNumberFormat="1" applyFont="1" applyFill="1" applyBorder="1" applyAlignment="1">
      <alignment horizontal="center"/>
    </xf>
    <xf numFmtId="4" fontId="60" fillId="0" borderId="81" xfId="0" applyNumberFormat="1" applyFont="1" applyFill="1" applyBorder="1" applyAlignment="1">
      <alignment horizontal="right"/>
    </xf>
    <xf numFmtId="4" fontId="60" fillId="0" borderId="81" xfId="85" applyNumberFormat="1" applyFont="1" applyFill="1" applyBorder="1" applyAlignment="1" applyProtection="1">
      <alignment horizontal="right" vertical="center" wrapText="1"/>
      <protection/>
    </xf>
    <xf numFmtId="4" fontId="24" fillId="0" borderId="81" xfId="92" applyNumberFormat="1" applyFont="1" applyFill="1" applyBorder="1" applyAlignment="1" applyProtection="1">
      <alignment horizontal="right" vertical="center" wrapText="1"/>
      <protection/>
    </xf>
    <xf numFmtId="4" fontId="60" fillId="0" borderId="81" xfId="92" applyNumberFormat="1" applyFont="1" applyFill="1" applyBorder="1" applyAlignment="1" applyProtection="1">
      <alignment horizontal="right" vertical="center" wrapText="1"/>
      <protection/>
    </xf>
    <xf numFmtId="4" fontId="24" fillId="0" borderId="81" xfId="0" applyNumberFormat="1" applyFont="1" applyFill="1" applyBorder="1" applyAlignment="1">
      <alignment horizontal="right" vertical="center"/>
    </xf>
    <xf numFmtId="4" fontId="27" fillId="0" borderId="97" xfId="85" applyNumberFormat="1" applyFont="1" applyFill="1" applyBorder="1" applyAlignment="1" applyProtection="1">
      <alignment horizontal="center" vertical="center" wrapText="1"/>
      <protection/>
    </xf>
    <xf numFmtId="4" fontId="27" fillId="0" borderId="81" xfId="92" applyNumberFormat="1" applyFont="1" applyFill="1" applyBorder="1" applyAlignment="1" applyProtection="1">
      <alignment horizontal="center" vertical="center" wrapText="1"/>
      <protection/>
    </xf>
    <xf numFmtId="4" fontId="27" fillId="0" borderId="81" xfId="105" applyNumberFormat="1" applyFont="1" applyFill="1" applyBorder="1" applyAlignment="1" applyProtection="1">
      <alignment horizontal="center" vertical="center" wrapText="1"/>
      <protection/>
    </xf>
    <xf numFmtId="168" fontId="51" fillId="0" borderId="14" xfId="105" applyNumberFormat="1" applyFont="1" applyFill="1" applyBorder="1" applyAlignment="1">
      <alignment/>
    </xf>
    <xf numFmtId="9" fontId="51" fillId="0" borderId="14" xfId="105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right"/>
    </xf>
    <xf numFmtId="0" fontId="21" fillId="0" borderId="14" xfId="0" applyFont="1" applyFill="1" applyBorder="1" applyAlignment="1">
      <alignment/>
    </xf>
    <xf numFmtId="0" fontId="20" fillId="0" borderId="14" xfId="0" applyFont="1" applyFill="1" applyBorder="1" applyAlignment="1">
      <alignment horizontal="right"/>
    </xf>
    <xf numFmtId="0" fontId="41" fillId="0" borderId="14" xfId="0" applyFont="1" applyFill="1" applyBorder="1" applyAlignment="1">
      <alignment horizontal="right"/>
    </xf>
    <xf numFmtId="2" fontId="7" fillId="0" borderId="14" xfId="0" applyNumberFormat="1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155" fillId="0" borderId="14" xfId="0" applyFont="1" applyFill="1" applyBorder="1" applyAlignment="1" applyProtection="1">
      <alignment horizontal="left" vertical="center" wrapText="1"/>
      <protection/>
    </xf>
    <xf numFmtId="0" fontId="156" fillId="0" borderId="14" xfId="0" applyFont="1" applyFill="1" applyBorder="1" applyAlignment="1" applyProtection="1">
      <alignment horizontal="center" vertical="center" wrapText="1"/>
      <protection/>
    </xf>
    <xf numFmtId="4" fontId="153" fillId="0" borderId="14" xfId="92" applyNumberFormat="1" applyFont="1" applyFill="1" applyBorder="1" applyAlignment="1" applyProtection="1">
      <alignment horizontal="center" vertical="center" wrapText="1"/>
      <protection locked="0"/>
    </xf>
    <xf numFmtId="3" fontId="153" fillId="0" borderId="14" xfId="85" applyNumberFormat="1" applyFont="1" applyFill="1" applyBorder="1" applyAlignment="1" applyProtection="1">
      <alignment horizontal="center" vertical="center" wrapText="1"/>
      <protection/>
    </xf>
    <xf numFmtId="4" fontId="155" fillId="0" borderId="14" xfId="85" applyNumberFormat="1" applyFont="1" applyFill="1" applyBorder="1" applyAlignment="1" applyProtection="1">
      <alignment horizontal="center" vertical="center" wrapText="1"/>
      <protection/>
    </xf>
    <xf numFmtId="4" fontId="153" fillId="0" borderId="14" xfId="0" applyNumberFormat="1" applyFont="1" applyFill="1" applyBorder="1" applyAlignment="1">
      <alignment horizontal="center"/>
    </xf>
    <xf numFmtId="4" fontId="156" fillId="0" borderId="14" xfId="85" applyNumberFormat="1" applyFont="1" applyFill="1" applyBorder="1" applyAlignment="1" applyProtection="1">
      <alignment horizontal="center" vertical="center" wrapText="1"/>
      <protection/>
    </xf>
    <xf numFmtId="4" fontId="153" fillId="0" borderId="14" xfId="85" applyNumberFormat="1" applyFont="1" applyFill="1" applyBorder="1" applyAlignment="1" applyProtection="1">
      <alignment horizontal="center" vertical="center" wrapText="1"/>
      <protection/>
    </xf>
    <xf numFmtId="4" fontId="155" fillId="0" borderId="14" xfId="92" applyNumberFormat="1" applyFont="1" applyFill="1" applyBorder="1" applyAlignment="1" applyProtection="1">
      <alignment horizontal="center" vertical="center" wrapText="1"/>
      <protection/>
    </xf>
    <xf numFmtId="4" fontId="155" fillId="0" borderId="81" xfId="85" applyNumberFormat="1" applyFont="1" applyFill="1" applyBorder="1" applyAlignment="1" applyProtection="1">
      <alignment horizontal="center" vertical="center" wrapText="1"/>
      <protection/>
    </xf>
    <xf numFmtId="0" fontId="156" fillId="0" borderId="14" xfId="0" applyFont="1" applyFill="1" applyBorder="1" applyAlignment="1">
      <alignment/>
    </xf>
    <xf numFmtId="0" fontId="156" fillId="0" borderId="0" xfId="0" applyFont="1" applyFill="1" applyAlignment="1">
      <alignment/>
    </xf>
    <xf numFmtId="4" fontId="21" fillId="0" borderId="21" xfId="85" applyNumberFormat="1" applyFont="1" applyFill="1" applyBorder="1" applyAlignment="1" applyProtection="1">
      <alignment horizontal="center" vertical="center" wrapText="1"/>
      <protection/>
    </xf>
    <xf numFmtId="2" fontId="26" fillId="0" borderId="11" xfId="0" applyNumberFormat="1" applyFont="1" applyFill="1" applyBorder="1" applyAlignment="1">
      <alignment horizontal="center" vertical="center"/>
    </xf>
    <xf numFmtId="4" fontId="21" fillId="0" borderId="21" xfId="92" applyNumberFormat="1" applyFont="1" applyFill="1" applyBorder="1" applyAlignment="1" applyProtection="1">
      <alignment horizontal="center" vertical="center" wrapText="1"/>
      <protection locked="0"/>
    </xf>
    <xf numFmtId="4" fontId="21" fillId="0" borderId="21" xfId="0" applyNumberFormat="1" applyFont="1" applyFill="1" applyBorder="1" applyAlignment="1">
      <alignment horizontal="center"/>
    </xf>
    <xf numFmtId="4" fontId="6" fillId="0" borderId="21" xfId="85" applyNumberFormat="1" applyFont="1" applyFill="1" applyBorder="1" applyAlignment="1" applyProtection="1">
      <alignment horizontal="center" vertical="center" wrapText="1"/>
      <protection/>
    </xf>
    <xf numFmtId="4" fontId="26" fillId="0" borderId="21" xfId="85" applyNumberFormat="1" applyFont="1" applyFill="1" applyBorder="1" applyAlignment="1" applyProtection="1">
      <alignment horizontal="center" vertical="center" wrapText="1"/>
      <protection/>
    </xf>
    <xf numFmtId="4" fontId="6" fillId="0" borderId="107" xfId="85" applyNumberFormat="1" applyFont="1" applyFill="1" applyBorder="1" applyAlignment="1" applyProtection="1">
      <alignment horizontal="center" vertical="center" wrapText="1"/>
      <protection/>
    </xf>
    <xf numFmtId="4" fontId="6" fillId="0" borderId="21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157" fillId="0" borderId="0" xfId="0" applyFont="1" applyFill="1" applyAlignment="1">
      <alignment/>
    </xf>
    <xf numFmtId="175" fontId="30" fillId="0" borderId="0" xfId="105" applyNumberFormat="1" applyFont="1" applyFill="1" applyAlignment="1">
      <alignment horizontal="center"/>
    </xf>
    <xf numFmtId="175" fontId="7" fillId="0" borderId="0" xfId="0" applyNumberFormat="1" applyFont="1" applyFill="1" applyAlignment="1">
      <alignment/>
    </xf>
    <xf numFmtId="171" fontId="26" fillId="0" borderId="14" xfId="92" applyNumberFormat="1" applyFont="1" applyFill="1" applyBorder="1" applyAlignment="1" applyProtection="1">
      <alignment horizontal="center" vertical="center" wrapText="1"/>
      <protection/>
    </xf>
    <xf numFmtId="0" fontId="26" fillId="0" borderId="24" xfId="0" applyFont="1" applyFill="1" applyBorder="1" applyAlignment="1" applyProtection="1">
      <alignment horizontal="left" vertical="center" wrapText="1"/>
      <protection/>
    </xf>
    <xf numFmtId="4" fontId="26" fillId="0" borderId="21" xfId="92" applyNumberFormat="1" applyFont="1" applyFill="1" applyBorder="1" applyAlignment="1" applyProtection="1">
      <alignment horizontal="center" vertical="center" wrapText="1"/>
      <protection locked="0"/>
    </xf>
    <xf numFmtId="4" fontId="7" fillId="0" borderId="21" xfId="92" applyNumberFormat="1" applyFont="1" applyFill="1" applyBorder="1" applyAlignment="1" applyProtection="1">
      <alignment horizontal="center" vertical="center" wrapText="1"/>
      <protection locked="0"/>
    </xf>
    <xf numFmtId="4" fontId="27" fillId="0" borderId="21" xfId="92" applyNumberFormat="1" applyFont="1" applyFill="1" applyBorder="1" applyAlignment="1" applyProtection="1">
      <alignment horizontal="left" vertical="center"/>
      <protection locked="0"/>
    </xf>
    <xf numFmtId="4" fontId="27" fillId="0" borderId="21" xfId="85" applyNumberFormat="1" applyFont="1" applyFill="1" applyBorder="1" applyAlignment="1" applyProtection="1">
      <alignment horizontal="center" vertical="center" wrapText="1"/>
      <protection/>
    </xf>
    <xf numFmtId="4" fontId="26" fillId="0" borderId="21" xfId="92" applyNumberFormat="1" applyFont="1" applyFill="1" applyBorder="1" applyAlignment="1" applyProtection="1">
      <alignment horizontal="center" vertical="center" wrapText="1"/>
      <protection/>
    </xf>
    <xf numFmtId="4" fontId="26" fillId="0" borderId="107" xfId="92" applyNumberFormat="1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>
      <alignment/>
    </xf>
    <xf numFmtId="171" fontId="26" fillId="0" borderId="81" xfId="92" applyNumberFormat="1" applyFont="1" applyFill="1" applyBorder="1" applyAlignment="1" applyProtection="1">
      <alignment horizontal="center" vertical="center" wrapText="1"/>
      <protection/>
    </xf>
    <xf numFmtId="0" fontId="26" fillId="52" borderId="14" xfId="0" applyFont="1" applyFill="1" applyBorder="1" applyAlignment="1" applyProtection="1">
      <alignment horizontal="left" vertical="center" wrapText="1" indent="1"/>
      <protection/>
    </xf>
    <xf numFmtId="0" fontId="7" fillId="52" borderId="14" xfId="0" applyFont="1" applyFill="1" applyBorder="1" applyAlignment="1" applyProtection="1">
      <alignment horizontal="center" vertical="center" wrapText="1"/>
      <protection/>
    </xf>
    <xf numFmtId="4" fontId="27" fillId="52" borderId="14" xfId="92" applyNumberFormat="1" applyFont="1" applyFill="1" applyBorder="1" applyAlignment="1" applyProtection="1">
      <alignment horizontal="center" vertical="center" wrapText="1"/>
      <protection/>
    </xf>
    <xf numFmtId="3" fontId="27" fillId="52" borderId="14" xfId="85" applyNumberFormat="1" applyFont="1" applyFill="1" applyBorder="1" applyAlignment="1" applyProtection="1">
      <alignment horizontal="center" vertical="center" wrapText="1"/>
      <protection/>
    </xf>
    <xf numFmtId="4" fontId="26" fillId="52" borderId="14" xfId="85" applyNumberFormat="1" applyFont="1" applyFill="1" applyBorder="1" applyAlignment="1" applyProtection="1">
      <alignment horizontal="center" vertical="center" wrapText="1"/>
      <protection/>
    </xf>
    <xf numFmtId="4" fontId="26" fillId="52" borderId="14" xfId="92" applyNumberFormat="1" applyFont="1" applyFill="1" applyBorder="1" applyAlignment="1" applyProtection="1">
      <alignment horizontal="center" vertical="center" wrapText="1"/>
      <protection/>
    </xf>
    <xf numFmtId="4" fontId="7" fillId="52" borderId="14" xfId="92" applyNumberFormat="1" applyFont="1" applyFill="1" applyBorder="1" applyAlignment="1" applyProtection="1">
      <alignment horizontal="center" vertical="center" wrapText="1"/>
      <protection/>
    </xf>
    <xf numFmtId="4" fontId="27" fillId="52" borderId="14" xfId="85" applyNumberFormat="1" applyFont="1" applyFill="1" applyBorder="1" applyAlignment="1" applyProtection="1">
      <alignment horizontal="center" vertical="center" wrapText="1"/>
      <protection/>
    </xf>
    <xf numFmtId="4" fontId="26" fillId="52" borderId="81" xfId="92" applyNumberFormat="1" applyFont="1" applyFill="1" applyBorder="1" applyAlignment="1" applyProtection="1">
      <alignment horizontal="center" vertical="center" wrapText="1"/>
      <protection/>
    </xf>
    <xf numFmtId="2" fontId="7" fillId="52" borderId="14" xfId="0" applyNumberFormat="1" applyFont="1" applyFill="1" applyBorder="1" applyAlignment="1">
      <alignment/>
    </xf>
    <xf numFmtId="0" fontId="7" fillId="52" borderId="14" xfId="0" applyFont="1" applyFill="1" applyBorder="1" applyAlignment="1">
      <alignment/>
    </xf>
    <xf numFmtId="0" fontId="7" fillId="52" borderId="0" xfId="0" applyFont="1" applyFill="1" applyAlignment="1">
      <alignment/>
    </xf>
    <xf numFmtId="171" fontId="26" fillId="0" borderId="14" xfId="92" applyNumberFormat="1" applyFont="1" applyFill="1" applyBorder="1" applyAlignment="1" applyProtection="1">
      <alignment horizontal="center" vertical="center" wrapText="1"/>
      <protection locked="0"/>
    </xf>
    <xf numFmtId="0" fontId="52" fillId="0" borderId="14" xfId="73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/>
    </xf>
    <xf numFmtId="2" fontId="153" fillId="0" borderId="0" xfId="0" applyNumberFormat="1" applyFont="1" applyFill="1" applyBorder="1" applyAlignment="1" applyProtection="1">
      <alignment horizontal="center" vertical="center" wrapText="1"/>
      <protection/>
    </xf>
    <xf numFmtId="4" fontId="51" fillId="0" borderId="14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/>
    </xf>
    <xf numFmtId="0" fontId="38" fillId="0" borderId="14" xfId="0" applyFont="1" applyFill="1" applyBorder="1" applyAlignment="1">
      <alignment/>
    </xf>
    <xf numFmtId="171" fontId="158" fillId="0" borderId="14" xfId="92" applyNumberFormat="1" applyFont="1" applyFill="1" applyBorder="1" applyAlignment="1" applyProtection="1">
      <alignment horizontal="center" vertical="center" wrapText="1"/>
      <protection/>
    </xf>
    <xf numFmtId="171" fontId="158" fillId="0" borderId="14" xfId="0" applyNumberFormat="1" applyFont="1" applyFill="1" applyBorder="1" applyAlignment="1">
      <alignment horizontal="center" vertical="center"/>
    </xf>
    <xf numFmtId="171" fontId="159" fillId="0" borderId="14" xfId="0" applyNumberFormat="1" applyFont="1" applyFill="1" applyBorder="1" applyAlignment="1">
      <alignment/>
    </xf>
    <xf numFmtId="171" fontId="159" fillId="0" borderId="14" xfId="92" applyNumberFormat="1" applyFont="1" applyFill="1" applyBorder="1" applyAlignment="1" applyProtection="1">
      <alignment horizontal="center" vertical="center" wrapText="1"/>
      <protection locked="0"/>
    </xf>
    <xf numFmtId="171" fontId="159" fillId="0" borderId="14" xfId="85" applyNumberFormat="1" applyFont="1" applyFill="1" applyBorder="1" applyAlignment="1" applyProtection="1">
      <alignment horizontal="center" vertical="center" wrapText="1"/>
      <protection/>
    </xf>
    <xf numFmtId="171" fontId="160" fillId="0" borderId="14" xfId="92" applyNumberFormat="1" applyFont="1" applyFill="1" applyBorder="1" applyAlignment="1" applyProtection="1">
      <alignment horizontal="right" vertical="center" wrapText="1"/>
      <protection locked="0"/>
    </xf>
    <xf numFmtId="171" fontId="159" fillId="0" borderId="0" xfId="0" applyNumberFormat="1" applyFont="1" applyFill="1" applyBorder="1" applyAlignment="1">
      <alignment/>
    </xf>
    <xf numFmtId="171" fontId="160" fillId="0" borderId="0" xfId="85" applyNumberFormat="1" applyFont="1" applyFill="1" applyBorder="1" applyAlignment="1" applyProtection="1">
      <alignment horizontal="right" vertical="center" wrapText="1"/>
      <protection/>
    </xf>
    <xf numFmtId="171" fontId="160" fillId="0" borderId="14" xfId="85" applyNumberFormat="1" applyFont="1" applyFill="1" applyBorder="1" applyAlignment="1" applyProtection="1">
      <alignment horizontal="right" vertical="center" wrapText="1"/>
      <protection/>
    </xf>
    <xf numFmtId="171" fontId="158" fillId="0" borderId="14" xfId="85" applyNumberFormat="1" applyFont="1" applyFill="1" applyBorder="1" applyAlignment="1" applyProtection="1">
      <alignment horizontal="center" vertical="center" wrapText="1"/>
      <protection/>
    </xf>
    <xf numFmtId="171" fontId="160" fillId="0" borderId="14" xfId="0" applyNumberFormat="1" applyFont="1" applyFill="1" applyBorder="1" applyAlignment="1">
      <alignment horizontal="center" vertical="center"/>
    </xf>
    <xf numFmtId="4" fontId="159" fillId="0" borderId="14" xfId="85" applyNumberFormat="1" applyFont="1" applyFill="1" applyBorder="1" applyAlignment="1" applyProtection="1">
      <alignment horizontal="center" vertical="center" wrapText="1"/>
      <protection/>
    </xf>
    <xf numFmtId="4" fontId="161" fillId="0" borderId="14" xfId="92" applyNumberFormat="1" applyFont="1" applyFill="1" applyBorder="1" applyAlignment="1" applyProtection="1">
      <alignment horizontal="right" vertical="center" wrapText="1"/>
      <protection locked="0"/>
    </xf>
    <xf numFmtId="4" fontId="160" fillId="0" borderId="14" xfId="0" applyNumberFormat="1" applyFont="1" applyFill="1" applyBorder="1" applyAlignment="1">
      <alignment horizontal="center" vertical="center"/>
    </xf>
    <xf numFmtId="4" fontId="161" fillId="0" borderId="14" xfId="0" applyNumberFormat="1" applyFont="1" applyFill="1" applyBorder="1" applyAlignment="1">
      <alignment horizontal="center"/>
    </xf>
    <xf numFmtId="4" fontId="159" fillId="0" borderId="14" xfId="0" applyNumberFormat="1" applyFont="1" applyFill="1" applyBorder="1" applyAlignment="1">
      <alignment/>
    </xf>
    <xf numFmtId="4" fontId="161" fillId="0" borderId="14" xfId="0" applyNumberFormat="1" applyFont="1" applyFill="1" applyBorder="1" applyAlignment="1">
      <alignment horizontal="right"/>
    </xf>
    <xf numFmtId="4" fontId="160" fillId="0" borderId="14" xfId="85" applyNumberFormat="1" applyFont="1" applyFill="1" applyBorder="1" applyAlignment="1" applyProtection="1">
      <alignment horizontal="right" vertical="center" wrapText="1"/>
      <protection/>
    </xf>
    <xf numFmtId="4" fontId="161" fillId="0" borderId="14" xfId="85" applyNumberFormat="1" applyFont="1" applyFill="1" applyBorder="1" applyAlignment="1" applyProtection="1">
      <alignment horizontal="right" vertical="center" wrapText="1"/>
      <protection/>
    </xf>
    <xf numFmtId="4" fontId="161" fillId="0" borderId="77" xfId="85" applyNumberFormat="1" applyFont="1" applyFill="1" applyBorder="1" applyAlignment="1" applyProtection="1">
      <alignment horizontal="right" vertical="center" wrapText="1"/>
      <protection/>
    </xf>
    <xf numFmtId="4" fontId="158" fillId="0" borderId="77" xfId="0" applyNumberFormat="1" applyFont="1" applyFill="1" applyBorder="1" applyAlignment="1">
      <alignment horizontal="center" vertical="center"/>
    </xf>
    <xf numFmtId="4" fontId="161" fillId="0" borderId="0" xfId="0" applyNumberFormat="1" applyFont="1" applyFill="1" applyBorder="1" applyAlignment="1">
      <alignment horizontal="center"/>
    </xf>
    <xf numFmtId="4" fontId="161" fillId="0" borderId="0" xfId="0" applyNumberFormat="1" applyFont="1" applyFill="1" applyBorder="1" applyAlignment="1">
      <alignment horizontal="right"/>
    </xf>
    <xf numFmtId="4" fontId="158" fillId="0" borderId="77" xfId="85" applyNumberFormat="1" applyFont="1" applyFill="1" applyBorder="1" applyAlignment="1" applyProtection="1">
      <alignment horizontal="center" vertical="center" wrapText="1"/>
      <protection/>
    </xf>
    <xf numFmtId="4" fontId="158" fillId="0" borderId="14" xfId="85" applyNumberFormat="1" applyFont="1" applyFill="1" applyBorder="1" applyAlignment="1" applyProtection="1">
      <alignment horizontal="center" vertical="center" wrapText="1"/>
      <protection/>
    </xf>
    <xf numFmtId="4" fontId="159" fillId="0" borderId="0" xfId="0" applyNumberFormat="1" applyFont="1" applyFill="1" applyBorder="1" applyAlignment="1">
      <alignment/>
    </xf>
    <xf numFmtId="4" fontId="160" fillId="0" borderId="14" xfId="92" applyNumberFormat="1" applyFont="1" applyFill="1" applyBorder="1" applyAlignment="1" applyProtection="1">
      <alignment horizontal="right" vertical="center" wrapText="1"/>
      <protection/>
    </xf>
    <xf numFmtId="4" fontId="161" fillId="0" borderId="14" xfId="92" applyNumberFormat="1" applyFont="1" applyFill="1" applyBorder="1" applyAlignment="1" applyProtection="1">
      <alignment horizontal="right" vertical="center" wrapText="1"/>
      <protection/>
    </xf>
    <xf numFmtId="4" fontId="160" fillId="0" borderId="14" xfId="0" applyNumberFormat="1" applyFont="1" applyFill="1" applyBorder="1" applyAlignment="1">
      <alignment horizontal="right" vertical="center"/>
    </xf>
    <xf numFmtId="4" fontId="159" fillId="0" borderId="20" xfId="85" applyNumberFormat="1" applyFont="1" applyFill="1" applyBorder="1" applyAlignment="1" applyProtection="1">
      <alignment horizontal="center" vertical="center" wrapText="1"/>
      <protection/>
    </xf>
    <xf numFmtId="4" fontId="158" fillId="0" borderId="14" xfId="92" applyNumberFormat="1" applyFont="1" applyFill="1" applyBorder="1" applyAlignment="1" applyProtection="1">
      <alignment horizontal="center" vertical="center" wrapText="1"/>
      <protection/>
    </xf>
    <xf numFmtId="2" fontId="26" fillId="0" borderId="14" xfId="0" applyNumberFormat="1" applyFont="1" applyFill="1" applyBorder="1" applyAlignment="1">
      <alignment horizontal="center" vertical="center"/>
    </xf>
    <xf numFmtId="0" fontId="52" fillId="0" borderId="25" xfId="0" applyFont="1" applyFill="1" applyBorder="1" applyAlignment="1" applyProtection="1">
      <alignment vertical="center" wrapText="1"/>
      <protection/>
    </xf>
    <xf numFmtId="3" fontId="51" fillId="0" borderId="26" xfId="85" applyNumberFormat="1" applyFont="1" applyFill="1" applyBorder="1" applyAlignment="1" applyProtection="1">
      <alignment horizontal="center" vertical="center" wrapText="1"/>
      <protection/>
    </xf>
    <xf numFmtId="0" fontId="51" fillId="0" borderId="26" xfId="0" applyFont="1" applyFill="1" applyBorder="1" applyAlignment="1">
      <alignment/>
    </xf>
    <xf numFmtId="4" fontId="51" fillId="0" borderId="26" xfId="0" applyNumberFormat="1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24" fillId="0" borderId="92" xfId="0" applyFont="1" applyFill="1" applyBorder="1" applyAlignment="1" applyProtection="1">
      <alignment horizontal="right" vertical="center" wrapText="1"/>
      <protection/>
    </xf>
    <xf numFmtId="9" fontId="53" fillId="0" borderId="20" xfId="0" applyNumberFormat="1" applyFont="1" applyFill="1" applyBorder="1" applyAlignment="1" applyProtection="1">
      <alignment horizontal="right" vertical="center" wrapText="1"/>
      <protection/>
    </xf>
    <xf numFmtId="4" fontId="53" fillId="0" borderId="20" xfId="92" applyNumberFormat="1" applyFont="1" applyFill="1" applyBorder="1" applyAlignment="1" applyProtection="1">
      <alignment horizontal="right" vertical="center" wrapText="1"/>
      <protection locked="0"/>
    </xf>
    <xf numFmtId="3" fontId="51" fillId="0" borderId="20" xfId="85" applyNumberFormat="1" applyFont="1" applyFill="1" applyBorder="1" applyAlignment="1" applyProtection="1">
      <alignment horizontal="center" vertical="center" wrapText="1"/>
      <protection/>
    </xf>
    <xf numFmtId="4" fontId="25" fillId="0" borderId="20" xfId="92" applyNumberFormat="1" applyFont="1" applyFill="1" applyBorder="1" applyAlignment="1" applyProtection="1">
      <alignment horizontal="right" vertical="center" wrapText="1"/>
      <protection locked="0"/>
    </xf>
    <xf numFmtId="4" fontId="67" fillId="0" borderId="20" xfId="92" applyNumberFormat="1" applyFont="1" applyFill="1" applyBorder="1" applyAlignment="1" applyProtection="1">
      <alignment horizontal="right" vertical="center" wrapText="1"/>
      <protection locked="0"/>
    </xf>
    <xf numFmtId="4" fontId="21" fillId="0" borderId="20" xfId="0" applyNumberFormat="1" applyFont="1" applyFill="1" applyBorder="1" applyAlignment="1">
      <alignment horizontal="right"/>
    </xf>
    <xf numFmtId="0" fontId="21" fillId="0" borderId="20" xfId="0" applyFont="1" applyFill="1" applyBorder="1" applyAlignment="1">
      <alignment horizontal="right"/>
    </xf>
    <xf numFmtId="0" fontId="51" fillId="0" borderId="11" xfId="0" applyFont="1" applyFill="1" applyBorder="1" applyAlignment="1" applyProtection="1">
      <alignment horizontal="center" vertical="center" wrapText="1"/>
      <protection/>
    </xf>
    <xf numFmtId="4" fontId="51" fillId="0" borderId="11" xfId="92" applyNumberFormat="1" applyFont="1" applyFill="1" applyBorder="1" applyAlignment="1" applyProtection="1">
      <alignment horizontal="center" vertical="center" wrapText="1"/>
      <protection/>
    </xf>
    <xf numFmtId="3" fontId="51" fillId="0" borderId="11" xfId="85" applyNumberFormat="1" applyFont="1" applyFill="1" applyBorder="1" applyAlignment="1" applyProtection="1">
      <alignment horizontal="center" vertical="center" wrapText="1"/>
      <protection/>
    </xf>
    <xf numFmtId="4" fontId="52" fillId="0" borderId="11" xfId="92" applyNumberFormat="1" applyFont="1" applyFill="1" applyBorder="1" applyAlignment="1" applyProtection="1">
      <alignment horizontal="center" vertical="center" wrapText="1"/>
      <protection/>
    </xf>
    <xf numFmtId="0" fontId="51" fillId="0" borderId="11" xfId="0" applyFont="1" applyFill="1" applyBorder="1" applyAlignment="1">
      <alignment/>
    </xf>
    <xf numFmtId="4" fontId="51" fillId="0" borderId="11" xfId="0" applyNumberFormat="1" applyFont="1" applyFill="1" applyBorder="1" applyAlignment="1">
      <alignment/>
    </xf>
    <xf numFmtId="4" fontId="52" fillId="0" borderId="11" xfId="0" applyNumberFormat="1" applyFont="1" applyFill="1" applyBorder="1" applyAlignment="1">
      <alignment horizontal="center" vertical="center"/>
    </xf>
    <xf numFmtId="4" fontId="26" fillId="0" borderId="11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4" fillId="0" borderId="24" xfId="0" applyFont="1" applyFill="1" applyBorder="1" applyAlignment="1" applyProtection="1">
      <alignment horizontal="right" vertical="center" wrapText="1"/>
      <protection/>
    </xf>
    <xf numFmtId="9" fontId="53" fillId="0" borderId="21" xfId="0" applyNumberFormat="1" applyFont="1" applyFill="1" applyBorder="1" applyAlignment="1" applyProtection="1">
      <alignment horizontal="right" vertical="center" wrapText="1"/>
      <protection/>
    </xf>
    <xf numFmtId="4" fontId="53" fillId="0" borderId="21" xfId="92" applyNumberFormat="1" applyFont="1" applyFill="1" applyBorder="1" applyAlignment="1" applyProtection="1">
      <alignment horizontal="right" vertical="center" wrapText="1"/>
      <protection locked="0"/>
    </xf>
    <xf numFmtId="3" fontId="51" fillId="0" borderId="21" xfId="85" applyNumberFormat="1" applyFont="1" applyFill="1" applyBorder="1" applyAlignment="1" applyProtection="1">
      <alignment horizontal="center" vertical="center" wrapText="1"/>
      <protection/>
    </xf>
    <xf numFmtId="4" fontId="25" fillId="0" borderId="21" xfId="92" applyNumberFormat="1" applyFont="1" applyFill="1" applyBorder="1" applyAlignment="1" applyProtection="1">
      <alignment horizontal="right" vertical="center" wrapText="1"/>
      <protection locked="0"/>
    </xf>
    <xf numFmtId="4" fontId="67" fillId="0" borderId="21" xfId="92" applyNumberFormat="1" applyFont="1" applyFill="1" applyBorder="1" applyAlignment="1" applyProtection="1">
      <alignment horizontal="right" vertical="center" wrapText="1"/>
      <protection locked="0"/>
    </xf>
    <xf numFmtId="4" fontId="21" fillId="0" borderId="21" xfId="0" applyNumberFormat="1" applyFont="1" applyFill="1" applyBorder="1" applyAlignment="1">
      <alignment horizontal="right"/>
    </xf>
    <xf numFmtId="0" fontId="21" fillId="0" borderId="21" xfId="0" applyFont="1" applyFill="1" applyBorder="1" applyAlignment="1">
      <alignment horizontal="right"/>
    </xf>
    <xf numFmtId="0" fontId="21" fillId="0" borderId="14" xfId="0" applyFont="1" applyFill="1" applyBorder="1" applyAlignment="1">
      <alignment horizontal="center" vertical="center"/>
    </xf>
    <xf numFmtId="2" fontId="21" fillId="0" borderId="14" xfId="0" applyNumberFormat="1" applyFont="1" applyFill="1" applyBorder="1" applyAlignment="1">
      <alignment horizontal="center" vertical="center"/>
    </xf>
    <xf numFmtId="4" fontId="26" fillId="0" borderId="14" xfId="0" applyNumberFormat="1" applyFont="1" applyFill="1" applyBorder="1" applyAlignment="1">
      <alignment/>
    </xf>
    <xf numFmtId="169" fontId="60" fillId="0" borderId="14" xfId="92" applyNumberFormat="1" applyFont="1" applyFill="1" applyBorder="1" applyAlignment="1" applyProtection="1">
      <alignment horizontal="right" vertical="center" wrapText="1"/>
      <protection locked="0"/>
    </xf>
    <xf numFmtId="169" fontId="60" fillId="0" borderId="14" xfId="105" applyNumberFormat="1" applyFont="1" applyFill="1" applyBorder="1" applyAlignment="1" applyProtection="1">
      <alignment horizontal="right" vertical="center" wrapText="1"/>
      <protection locked="0"/>
    </xf>
    <xf numFmtId="4" fontId="60" fillId="0" borderId="14" xfId="105" applyNumberFormat="1" applyFont="1" applyFill="1" applyBorder="1" applyAlignment="1" applyProtection="1">
      <alignment horizontal="right" vertical="center" wrapText="1"/>
      <protection locked="0"/>
    </xf>
    <xf numFmtId="0" fontId="60" fillId="0" borderId="0" xfId="0" applyFont="1" applyFill="1" applyAlignment="1">
      <alignment/>
    </xf>
    <xf numFmtId="4" fontId="60" fillId="0" borderId="14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Alignment="1">
      <alignment horizontal="center" vertical="center"/>
    </xf>
    <xf numFmtId="0" fontId="26" fillId="0" borderId="14" xfId="0" applyFont="1" applyFill="1" applyBorder="1" applyAlignment="1" applyProtection="1">
      <alignment horizontal="center" vertical="center" wrapText="1"/>
      <protection/>
    </xf>
    <xf numFmtId="0" fontId="27" fillId="0" borderId="14" xfId="0" applyFont="1" applyFill="1" applyBorder="1" applyAlignment="1">
      <alignment horizontal="center" vertical="center"/>
    </xf>
    <xf numFmtId="0" fontId="26" fillId="52" borderId="14" xfId="0" applyFont="1" applyFill="1" applyBorder="1" applyAlignment="1">
      <alignment horizontal="center" vertical="center"/>
    </xf>
    <xf numFmtId="4" fontId="26" fillId="52" borderId="14" xfId="0" applyNumberFormat="1" applyFont="1" applyFill="1" applyBorder="1" applyAlignment="1">
      <alignment horizontal="center" vertical="center"/>
    </xf>
    <xf numFmtId="4" fontId="51" fillId="0" borderId="11" xfId="0" applyNumberFormat="1" applyFont="1" applyFill="1" applyBorder="1" applyAlignment="1">
      <alignment horizontal="center" vertical="center"/>
    </xf>
    <xf numFmtId="175" fontId="27" fillId="0" borderId="0" xfId="0" applyNumberFormat="1" applyFont="1" applyFill="1" applyAlignment="1">
      <alignment horizontal="center" vertical="center"/>
    </xf>
    <xf numFmtId="175" fontId="7" fillId="0" borderId="0" xfId="0" applyNumberFormat="1" applyFont="1" applyFill="1" applyAlignment="1">
      <alignment horizontal="center" vertical="center"/>
    </xf>
    <xf numFmtId="0" fontId="101" fillId="0" borderId="96" xfId="0" applyFont="1" applyFill="1" applyBorder="1" applyAlignment="1" applyProtection="1">
      <alignment vertical="center" wrapText="1"/>
      <protection/>
    </xf>
    <xf numFmtId="175" fontId="26" fillId="0" borderId="11" xfId="0" applyNumberFormat="1" applyFont="1" applyFill="1" applyBorder="1" applyAlignment="1">
      <alignment horizontal="center" vertical="center"/>
    </xf>
    <xf numFmtId="175" fontId="26" fillId="0" borderId="106" xfId="0" applyNumberFormat="1" applyFont="1" applyFill="1" applyBorder="1" applyAlignment="1">
      <alignment horizontal="center" vertical="center"/>
    </xf>
    <xf numFmtId="0" fontId="26" fillId="0" borderId="109" xfId="83" applyFont="1" applyBorder="1" applyAlignment="1">
      <alignment vertical="center" wrapText="1"/>
      <protection/>
    </xf>
    <xf numFmtId="0" fontId="26" fillId="0" borderId="110" xfId="83" applyFont="1" applyBorder="1" applyAlignment="1">
      <alignment vertical="center" wrapText="1"/>
      <protection/>
    </xf>
    <xf numFmtId="0" fontId="26" fillId="0" borderId="108" xfId="83" applyFont="1" applyBorder="1" applyAlignment="1">
      <alignment vertical="center" wrapText="1"/>
      <protection/>
    </xf>
    <xf numFmtId="9" fontId="26" fillId="0" borderId="110" xfId="83" applyNumberFormat="1" applyFont="1" applyBorder="1" applyAlignment="1">
      <alignment vertical="center" wrapText="1"/>
      <protection/>
    </xf>
    <xf numFmtId="4" fontId="162" fillId="0" borderId="14" xfId="92" applyNumberFormat="1" applyFont="1" applyFill="1" applyBorder="1" applyAlignment="1" applyProtection="1">
      <alignment horizontal="center" vertical="center" wrapText="1"/>
      <protection locked="0"/>
    </xf>
    <xf numFmtId="174" fontId="27" fillId="0" borderId="0" xfId="0" applyNumberFormat="1" applyFont="1" applyFill="1" applyBorder="1" applyAlignment="1" applyProtection="1">
      <alignment horizontal="center" vertical="center" wrapText="1"/>
      <protection/>
    </xf>
    <xf numFmtId="4" fontId="163" fillId="0" borderId="14" xfId="92" applyNumberFormat="1" applyFont="1" applyFill="1" applyBorder="1" applyAlignment="1" applyProtection="1">
      <alignment horizontal="center" vertical="center" wrapText="1"/>
      <protection locked="0"/>
    </xf>
    <xf numFmtId="175" fontId="27" fillId="0" borderId="0" xfId="0" applyNumberFormat="1" applyFont="1" applyFill="1" applyBorder="1" applyAlignment="1" applyProtection="1">
      <alignment horizontal="center" vertical="center" wrapText="1"/>
      <protection/>
    </xf>
    <xf numFmtId="4" fontId="164" fillId="0" borderId="21" xfId="92" applyNumberFormat="1" applyFont="1" applyFill="1" applyBorder="1" applyAlignment="1" applyProtection="1">
      <alignment horizontal="center" vertical="center" wrapText="1"/>
      <protection/>
    </xf>
    <xf numFmtId="4" fontId="165" fillId="0" borderId="14" xfId="0" applyNumberFormat="1" applyFont="1" applyFill="1" applyBorder="1" applyAlignment="1">
      <alignment horizontal="center" vertical="center"/>
    </xf>
    <xf numFmtId="168" fontId="27" fillId="0" borderId="13" xfId="74" applyNumberFormat="1" applyFont="1" applyFill="1" applyBorder="1" applyAlignment="1" applyProtection="1">
      <alignment horizontal="center" vertical="center" wrapText="1"/>
      <protection/>
    </xf>
    <xf numFmtId="168" fontId="27" fillId="0" borderId="11" xfId="74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NumberFormat="1" applyFont="1" applyFill="1" applyBorder="1" applyAlignment="1" applyProtection="1">
      <alignment horizontal="center" vertical="center" wrapText="1"/>
      <protection/>
    </xf>
    <xf numFmtId="0" fontId="26" fillId="0" borderId="11" xfId="0" applyNumberFormat="1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 applyProtection="1">
      <alignment vertical="center" wrapText="1"/>
      <protection/>
    </xf>
    <xf numFmtId="0" fontId="52" fillId="0" borderId="0" xfId="0" applyFont="1" applyFill="1" applyBorder="1" applyAlignment="1" applyProtection="1">
      <alignment horizontal="center" vertical="center" wrapText="1"/>
      <protection/>
    </xf>
    <xf numFmtId="4" fontId="51" fillId="0" borderId="0" xfId="92" applyNumberFormat="1" applyFont="1" applyFill="1" applyBorder="1" applyAlignment="1" applyProtection="1">
      <alignment horizontal="center" vertical="center" wrapText="1"/>
      <protection/>
    </xf>
    <xf numFmtId="3" fontId="52" fillId="0" borderId="0" xfId="92" applyNumberFormat="1" applyFont="1" applyFill="1" applyBorder="1" applyAlignment="1" applyProtection="1">
      <alignment horizontal="center" vertical="center" wrapText="1"/>
      <protection locked="0"/>
    </xf>
    <xf numFmtId="4" fontId="52" fillId="0" borderId="0" xfId="92" applyNumberFormat="1" applyFont="1" applyFill="1" applyBorder="1" applyAlignment="1" applyProtection="1">
      <alignment horizontal="center" vertical="center" wrapText="1"/>
      <protection/>
    </xf>
    <xf numFmtId="4" fontId="27" fillId="0" borderId="0" xfId="0" applyNumberFormat="1" applyFont="1" applyFill="1" applyBorder="1" applyAlignment="1">
      <alignment horizontal="center" vertical="center"/>
    </xf>
    <xf numFmtId="4" fontId="164" fillId="0" borderId="0" xfId="92" applyNumberFormat="1" applyFont="1" applyFill="1" applyBorder="1" applyAlignment="1" applyProtection="1">
      <alignment horizontal="center" vertical="center" wrapText="1"/>
      <protection/>
    </xf>
    <xf numFmtId="4" fontId="165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4" fontId="2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/>
    </xf>
    <xf numFmtId="49" fontId="166" fillId="0" borderId="10" xfId="92" applyNumberFormat="1" applyFont="1" applyFill="1" applyBorder="1" applyAlignment="1" applyProtection="1">
      <alignment horizontal="left" vertical="center" wrapText="1" indent="2"/>
      <protection/>
    </xf>
    <xf numFmtId="49" fontId="156" fillId="0" borderId="14" xfId="92" applyNumberFormat="1" applyFont="1" applyFill="1" applyBorder="1" applyAlignment="1" applyProtection="1">
      <alignment horizontal="center" vertical="center" wrapText="1"/>
      <protection/>
    </xf>
    <xf numFmtId="4" fontId="166" fillId="0" borderId="14" xfId="92" applyNumberFormat="1" applyFont="1" applyFill="1" applyBorder="1" applyAlignment="1" applyProtection="1">
      <alignment horizontal="center" vertical="center" wrapText="1"/>
      <protection locked="0"/>
    </xf>
    <xf numFmtId="3" fontId="166" fillId="0" borderId="14" xfId="85" applyNumberFormat="1" applyFont="1" applyFill="1" applyBorder="1" applyAlignment="1" applyProtection="1">
      <alignment horizontal="center" vertical="center" wrapText="1"/>
      <protection/>
    </xf>
    <xf numFmtId="4" fontId="167" fillId="0" borderId="14" xfId="92" applyNumberFormat="1" applyFont="1" applyFill="1" applyBorder="1" applyAlignment="1" applyProtection="1">
      <alignment horizontal="center" vertical="center" wrapText="1"/>
      <protection locked="0"/>
    </xf>
    <xf numFmtId="4" fontId="168" fillId="0" borderId="14" xfId="92" applyNumberFormat="1" applyFont="1" applyFill="1" applyBorder="1" applyAlignment="1" applyProtection="1">
      <alignment horizontal="center" vertical="center" wrapText="1"/>
      <protection locked="0"/>
    </xf>
    <xf numFmtId="4" fontId="156" fillId="0" borderId="14" xfId="92" applyNumberFormat="1" applyFont="1" applyFill="1" applyBorder="1" applyAlignment="1" applyProtection="1">
      <alignment horizontal="right" vertical="center" wrapText="1"/>
      <protection locked="0"/>
    </xf>
    <xf numFmtId="171" fontId="166" fillId="0" borderId="14" xfId="92" applyNumberFormat="1" applyFont="1" applyFill="1" applyBorder="1" applyAlignment="1" applyProtection="1">
      <alignment horizontal="center" vertical="center" wrapText="1"/>
      <protection locked="0"/>
    </xf>
    <xf numFmtId="4" fontId="166" fillId="0" borderId="81" xfId="92" applyNumberFormat="1" applyFont="1" applyFill="1" applyBorder="1" applyAlignment="1" applyProtection="1">
      <alignment horizontal="center" vertical="center" wrapText="1"/>
      <protection locked="0"/>
    </xf>
    <xf numFmtId="49" fontId="154" fillId="0" borderId="10" xfId="92" applyNumberFormat="1" applyFont="1" applyFill="1" applyBorder="1" applyAlignment="1" applyProtection="1">
      <alignment horizontal="left" vertical="center" wrapText="1" indent="2"/>
      <protection/>
    </xf>
    <xf numFmtId="49" fontId="154" fillId="0" borderId="14" xfId="92" applyNumberFormat="1" applyFont="1" applyFill="1" applyBorder="1" applyAlignment="1" applyProtection="1">
      <alignment horizontal="center" vertical="center" wrapText="1"/>
      <protection/>
    </xf>
    <xf numFmtId="4" fontId="154" fillId="0" borderId="14" xfId="92" applyNumberFormat="1" applyFont="1" applyFill="1" applyBorder="1" applyAlignment="1" applyProtection="1">
      <alignment horizontal="center" vertical="center" wrapText="1"/>
      <protection locked="0"/>
    </xf>
    <xf numFmtId="3" fontId="154" fillId="0" borderId="14" xfId="85" applyNumberFormat="1" applyFont="1" applyFill="1" applyBorder="1" applyAlignment="1" applyProtection="1">
      <alignment horizontal="center" vertical="center" wrapText="1"/>
      <protection/>
    </xf>
    <xf numFmtId="3" fontId="154" fillId="0" borderId="14" xfId="92" applyNumberFormat="1" applyFont="1" applyFill="1" applyBorder="1" applyAlignment="1" applyProtection="1">
      <alignment horizontal="center" vertical="center" wrapText="1"/>
      <protection locked="0"/>
    </xf>
    <xf numFmtId="3" fontId="169" fillId="0" borderId="14" xfId="92" applyNumberFormat="1" applyFont="1" applyFill="1" applyBorder="1" applyAlignment="1" applyProtection="1">
      <alignment horizontal="right" vertical="center" wrapText="1"/>
      <protection locked="0"/>
    </xf>
    <xf numFmtId="0" fontId="169" fillId="0" borderId="14" xfId="0" applyFont="1" applyFill="1" applyBorder="1" applyAlignment="1">
      <alignment horizontal="right"/>
    </xf>
    <xf numFmtId="169" fontId="169" fillId="0" borderId="14" xfId="92" applyNumberFormat="1" applyFont="1" applyFill="1" applyBorder="1" applyAlignment="1" applyProtection="1">
      <alignment horizontal="right" vertical="center" wrapText="1"/>
      <protection locked="0"/>
    </xf>
    <xf numFmtId="4" fontId="169" fillId="0" borderId="14" xfId="92" applyNumberFormat="1" applyFont="1" applyFill="1" applyBorder="1" applyAlignment="1" applyProtection="1">
      <alignment horizontal="center" vertical="center" wrapText="1"/>
      <protection locked="0"/>
    </xf>
    <xf numFmtId="171" fontId="169" fillId="0" borderId="14" xfId="92" applyNumberFormat="1" applyFont="1" applyFill="1" applyBorder="1" applyAlignment="1" applyProtection="1">
      <alignment horizontal="right" vertical="center" wrapText="1"/>
      <protection locked="0"/>
    </xf>
    <xf numFmtId="0" fontId="170" fillId="0" borderId="14" xfId="0" applyFont="1" applyFill="1" applyBorder="1" applyAlignment="1" applyProtection="1">
      <alignment horizontal="left" vertical="center" wrapText="1" indent="1"/>
      <protection/>
    </xf>
    <xf numFmtId="0" fontId="155" fillId="0" borderId="14" xfId="0" applyFont="1" applyFill="1" applyBorder="1" applyAlignment="1" applyProtection="1">
      <alignment vertical="center" wrapText="1"/>
      <protection/>
    </xf>
    <xf numFmtId="0" fontId="155" fillId="0" borderId="14" xfId="0" applyFont="1" applyFill="1" applyBorder="1" applyAlignment="1" applyProtection="1">
      <alignment horizontal="left" vertical="center" wrapText="1" indent="2"/>
      <protection/>
    </xf>
    <xf numFmtId="0" fontId="26" fillId="0" borderId="81" xfId="0" applyFont="1" applyFill="1" applyBorder="1" applyAlignment="1">
      <alignment horizontal="center" vertical="center" wrapText="1"/>
    </xf>
    <xf numFmtId="0" fontId="7" fillId="0" borderId="81" xfId="0" applyFont="1" applyFill="1" applyBorder="1" applyAlignment="1">
      <alignment/>
    </xf>
    <xf numFmtId="0" fontId="27" fillId="0" borderId="81" xfId="0" applyFont="1" applyFill="1" applyBorder="1" applyAlignment="1">
      <alignment horizontal="center" vertical="center"/>
    </xf>
    <xf numFmtId="4" fontId="26" fillId="52" borderId="81" xfId="0" applyNumberFormat="1" applyFont="1" applyFill="1" applyBorder="1" applyAlignment="1">
      <alignment horizontal="center" vertical="center"/>
    </xf>
    <xf numFmtId="4" fontId="51" fillId="0" borderId="81" xfId="0" applyNumberFormat="1" applyFont="1" applyFill="1" applyBorder="1" applyAlignment="1">
      <alignment/>
    </xf>
    <xf numFmtId="0" fontId="7" fillId="0" borderId="98" xfId="0" applyFont="1" applyFill="1" applyBorder="1" applyAlignment="1">
      <alignment/>
    </xf>
    <xf numFmtId="2" fontId="26" fillId="0" borderId="106" xfId="0" applyNumberFormat="1" applyFont="1" applyFill="1" applyBorder="1" applyAlignment="1">
      <alignment horizontal="center" vertical="center"/>
    </xf>
    <xf numFmtId="0" fontId="156" fillId="0" borderId="81" xfId="0" applyFont="1" applyFill="1" applyBorder="1" applyAlignment="1">
      <alignment/>
    </xf>
    <xf numFmtId="0" fontId="6" fillId="0" borderId="81" xfId="0" applyFont="1" applyFill="1" applyBorder="1" applyAlignment="1">
      <alignment horizontal="center" vertical="center"/>
    </xf>
    <xf numFmtId="0" fontId="20" fillId="0" borderId="81" xfId="0" applyFont="1" applyFill="1" applyBorder="1" applyAlignment="1">
      <alignment horizontal="right"/>
    </xf>
    <xf numFmtId="0" fontId="39" fillId="0" borderId="81" xfId="0" applyFont="1" applyFill="1" applyBorder="1" applyAlignment="1">
      <alignment/>
    </xf>
    <xf numFmtId="0" fontId="38" fillId="0" borderId="81" xfId="0" applyFont="1" applyFill="1" applyBorder="1" applyAlignment="1">
      <alignment/>
    </xf>
    <xf numFmtId="0" fontId="21" fillId="0" borderId="107" xfId="0" applyFont="1" applyFill="1" applyBorder="1" applyAlignment="1">
      <alignment horizontal="right"/>
    </xf>
    <xf numFmtId="0" fontId="21" fillId="0" borderId="97" xfId="0" applyFont="1" applyFill="1" applyBorder="1" applyAlignment="1">
      <alignment horizontal="right"/>
    </xf>
    <xf numFmtId="2" fontId="26" fillId="0" borderId="81" xfId="0" applyNumberFormat="1" applyFont="1" applyFill="1" applyBorder="1" applyAlignment="1">
      <alignment horizontal="center" vertical="center"/>
    </xf>
    <xf numFmtId="4" fontId="21" fillId="0" borderId="81" xfId="92" applyNumberFormat="1" applyFont="1" applyFill="1" applyBorder="1" applyAlignment="1" applyProtection="1">
      <alignment horizontal="right" vertical="center" wrapText="1"/>
      <protection/>
    </xf>
    <xf numFmtId="2" fontId="21" fillId="0" borderId="81" xfId="0" applyNumberFormat="1" applyFont="1" applyFill="1" applyBorder="1" applyAlignment="1">
      <alignment horizontal="center" vertical="center"/>
    </xf>
    <xf numFmtId="4" fontId="21" fillId="0" borderId="81" xfId="0" applyNumberFormat="1" applyFont="1" applyFill="1" applyBorder="1" applyAlignment="1">
      <alignment horizontal="center" vertical="center"/>
    </xf>
    <xf numFmtId="4" fontId="26" fillId="0" borderId="81" xfId="0" applyNumberFormat="1" applyFont="1" applyFill="1" applyBorder="1" applyAlignment="1">
      <alignment/>
    </xf>
    <xf numFmtId="4" fontId="52" fillId="0" borderId="81" xfId="92" applyNumberFormat="1" applyFont="1" applyFill="1" applyBorder="1" applyAlignment="1" applyProtection="1">
      <alignment horizontal="center" vertical="center" wrapText="1"/>
      <protection/>
    </xf>
    <xf numFmtId="4" fontId="52" fillId="0" borderId="98" xfId="92" applyNumberFormat="1" applyFont="1" applyFill="1" applyBorder="1" applyAlignment="1" applyProtection="1">
      <alignment horizontal="center" vertical="center" wrapText="1"/>
      <protection locked="0"/>
    </xf>
    <xf numFmtId="4" fontId="164" fillId="0" borderId="107" xfId="92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4" fontId="7" fillId="0" borderId="81" xfId="0" applyNumberFormat="1" applyFont="1" applyFill="1" applyBorder="1" applyAlignment="1">
      <alignment/>
    </xf>
    <xf numFmtId="4" fontId="7" fillId="52" borderId="81" xfId="0" applyNumberFormat="1" applyFont="1" applyFill="1" applyBorder="1" applyAlignment="1">
      <alignment/>
    </xf>
    <xf numFmtId="0" fontId="8" fillId="0" borderId="81" xfId="0" applyFont="1" applyFill="1" applyBorder="1" applyAlignment="1">
      <alignment horizontal="right"/>
    </xf>
    <xf numFmtId="0" fontId="21" fillId="0" borderId="81" xfId="0" applyFont="1" applyFill="1" applyBorder="1" applyAlignment="1">
      <alignment/>
    </xf>
    <xf numFmtId="0" fontId="21" fillId="0" borderId="81" xfId="0" applyFont="1" applyFill="1" applyBorder="1" applyAlignment="1">
      <alignment horizontal="right"/>
    </xf>
    <xf numFmtId="0" fontId="7" fillId="0" borderId="107" xfId="0" applyFont="1" applyFill="1" applyBorder="1" applyAlignment="1">
      <alignment/>
    </xf>
    <xf numFmtId="0" fontId="7" fillId="0" borderId="97" xfId="0" applyFont="1" applyFill="1" applyBorder="1" applyAlignment="1">
      <alignment/>
    </xf>
    <xf numFmtId="4" fontId="7" fillId="0" borderId="81" xfId="92" applyNumberFormat="1" applyFont="1" applyFill="1" applyBorder="1" applyAlignment="1" applyProtection="1">
      <alignment horizontal="center" vertical="center" wrapText="1"/>
      <protection/>
    </xf>
    <xf numFmtId="2" fontId="7" fillId="0" borderId="81" xfId="0" applyNumberFormat="1" applyFont="1" applyFill="1" applyBorder="1" applyAlignment="1">
      <alignment/>
    </xf>
    <xf numFmtId="4" fontId="6" fillId="0" borderId="107" xfId="0" applyNumberFormat="1" applyFont="1" applyFill="1" applyBorder="1" applyAlignment="1">
      <alignment horizontal="center"/>
    </xf>
    <xf numFmtId="4" fontId="155" fillId="0" borderId="81" xfId="92" applyNumberFormat="1" applyFont="1" applyFill="1" applyBorder="1" applyAlignment="1" applyProtection="1">
      <alignment horizontal="center" vertical="center" wrapText="1"/>
      <protection/>
    </xf>
    <xf numFmtId="0" fontId="52" fillId="0" borderId="14" xfId="0" applyFont="1" applyFill="1" applyBorder="1" applyAlignment="1">
      <alignment/>
    </xf>
    <xf numFmtId="49" fontId="61" fillId="0" borderId="0" xfId="90" applyFont="1" applyBorder="1" applyAlignment="1">
      <alignment horizontal="center" vertical="center"/>
      <protection/>
    </xf>
    <xf numFmtId="49" fontId="27" fillId="0" borderId="0" xfId="90" applyFont="1" applyBorder="1" applyAlignment="1">
      <alignment horizontal="center" vertical="center"/>
      <protection/>
    </xf>
    <xf numFmtId="49" fontId="38" fillId="0" borderId="11" xfId="90" applyFont="1" applyBorder="1" applyAlignment="1">
      <alignment horizontal="center" vertical="center" wrapText="1"/>
      <protection/>
    </xf>
    <xf numFmtId="49" fontId="39" fillId="0" borderId="106" xfId="90" applyFont="1" applyBorder="1" applyAlignment="1">
      <alignment horizontal="center" vertical="center" wrapText="1"/>
      <protection/>
    </xf>
    <xf numFmtId="49" fontId="39" fillId="0" borderId="108" xfId="90" applyFont="1" applyBorder="1" applyAlignment="1">
      <alignment horizontal="center" vertical="center" wrapText="1"/>
      <protection/>
    </xf>
    <xf numFmtId="49" fontId="91" fillId="0" borderId="0" xfId="90" applyFont="1" applyBorder="1" applyAlignment="1">
      <alignment horizontal="center" vertical="center"/>
      <protection/>
    </xf>
    <xf numFmtId="0" fontId="91" fillId="0" borderId="0" xfId="0" applyFont="1" applyAlignment="1">
      <alignment horizontal="center" vertical="center"/>
    </xf>
    <xf numFmtId="0" fontId="98" fillId="0" borderId="0" xfId="0" applyFont="1" applyBorder="1" applyAlignment="1">
      <alignment horizontal="center" vertical="center" wrapText="1"/>
    </xf>
    <xf numFmtId="0" fontId="16" fillId="0" borderId="78" xfId="91" applyFont="1" applyBorder="1" applyAlignment="1">
      <alignment horizontal="left" vertical="center" wrapText="1"/>
      <protection/>
    </xf>
    <xf numFmtId="0" fontId="14" fillId="0" borderId="111" xfId="0" applyFont="1" applyBorder="1" applyAlignment="1">
      <alignment horizontal="center" vertical="center" wrapText="1"/>
    </xf>
    <xf numFmtId="0" fontId="14" fillId="0" borderId="101" xfId="0" applyFont="1" applyBorder="1" applyAlignment="1">
      <alignment horizontal="center" vertical="center" wrapText="1"/>
    </xf>
    <xf numFmtId="0" fontId="93" fillId="0" borderId="97" xfId="0" applyFont="1" applyBorder="1" applyAlignment="1">
      <alignment horizontal="center" vertical="center" wrapText="1"/>
    </xf>
    <xf numFmtId="0" fontId="93" fillId="0" borderId="78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14" fillId="0" borderId="10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4" fillId="0" borderId="98" xfId="0" applyFont="1" applyBorder="1" applyAlignment="1">
      <alignment horizontal="center" vertical="center" wrapText="1"/>
    </xf>
    <xf numFmtId="0" fontId="14" fillId="0" borderId="112" xfId="0" applyFont="1" applyBorder="1" applyAlignment="1">
      <alignment horizontal="center" vertical="center" wrapText="1"/>
    </xf>
    <xf numFmtId="0" fontId="14" fillId="0" borderId="113" xfId="0" applyFont="1" applyBorder="1" applyAlignment="1">
      <alignment horizontal="center" vertical="center" wrapText="1"/>
    </xf>
    <xf numFmtId="0" fontId="26" fillId="0" borderId="13" xfId="88" applyFont="1" applyBorder="1" applyAlignment="1">
      <alignment horizontal="center" vertical="center" textRotation="90" wrapText="1"/>
      <protection/>
    </xf>
    <xf numFmtId="0" fontId="26" fillId="0" borderId="10" xfId="88" applyFont="1" applyBorder="1" applyAlignment="1">
      <alignment horizontal="center" vertical="center" textRotation="90" wrapText="1"/>
      <protection/>
    </xf>
    <xf numFmtId="0" fontId="26" fillId="0" borderId="24" xfId="88" applyFont="1" applyBorder="1" applyAlignment="1">
      <alignment horizontal="center" vertical="center" textRotation="90" wrapText="1"/>
      <protection/>
    </xf>
    <xf numFmtId="0" fontId="26" fillId="0" borderId="10" xfId="88" applyFont="1" applyBorder="1" applyAlignment="1">
      <alignment horizontal="right"/>
      <protection/>
    </xf>
    <xf numFmtId="0" fontId="26" fillId="0" borderId="14" xfId="88" applyFont="1" applyBorder="1" applyAlignment="1">
      <alignment horizontal="right"/>
      <protection/>
    </xf>
    <xf numFmtId="0" fontId="1" fillId="0" borderId="109" xfId="89" applyBorder="1" applyAlignment="1">
      <alignment horizontal="center"/>
      <protection/>
    </xf>
    <xf numFmtId="0" fontId="1" fillId="0" borderId="110" xfId="89" applyBorder="1" applyAlignment="1">
      <alignment horizontal="center"/>
      <protection/>
    </xf>
    <xf numFmtId="0" fontId="1" fillId="0" borderId="108" xfId="89" applyBorder="1" applyAlignment="1">
      <alignment horizontal="center"/>
      <protection/>
    </xf>
    <xf numFmtId="0" fontId="27" fillId="0" borderId="10" xfId="89" applyFont="1" applyBorder="1" applyAlignment="1">
      <alignment horizontal="right"/>
      <protection/>
    </xf>
    <xf numFmtId="0" fontId="27" fillId="0" borderId="14" xfId="89" applyFont="1" applyBorder="1" applyAlignment="1">
      <alignment horizontal="right"/>
      <protection/>
    </xf>
    <xf numFmtId="0" fontId="27" fillId="0" borderId="24" xfId="88" applyFont="1" applyBorder="1" applyAlignment="1">
      <alignment horizontal="center"/>
      <protection/>
    </xf>
    <xf numFmtId="0" fontId="27" fillId="0" borderId="21" xfId="88" applyFont="1" applyBorder="1" applyAlignment="1">
      <alignment horizontal="center"/>
      <protection/>
    </xf>
    <xf numFmtId="0" fontId="27" fillId="0" borderId="13" xfId="88" applyFont="1" applyBorder="1" applyAlignment="1">
      <alignment horizontal="center"/>
      <protection/>
    </xf>
    <xf numFmtId="0" fontId="27" fillId="0" borderId="11" xfId="88" applyFont="1" applyBorder="1" applyAlignment="1">
      <alignment horizontal="center"/>
      <protection/>
    </xf>
    <xf numFmtId="0" fontId="60" fillId="0" borderId="10" xfId="88" applyFont="1" applyBorder="1" applyAlignment="1">
      <alignment horizontal="right"/>
      <protection/>
    </xf>
    <xf numFmtId="0" fontId="60" fillId="0" borderId="14" xfId="88" applyFont="1" applyBorder="1" applyAlignment="1">
      <alignment horizontal="right"/>
      <protection/>
    </xf>
    <xf numFmtId="0" fontId="27" fillId="0" borderId="94" xfId="89" applyFont="1" applyBorder="1" applyAlignment="1">
      <alignment horizontal="center" vertical="center" wrapText="1"/>
      <protection/>
    </xf>
    <xf numFmtId="0" fontId="27" fillId="0" borderId="114" xfId="89" applyFont="1" applyBorder="1" applyAlignment="1">
      <alignment horizontal="center" vertical="center" wrapText="1"/>
      <protection/>
    </xf>
    <xf numFmtId="0" fontId="91" fillId="0" borderId="0" xfId="0" applyFont="1" applyBorder="1" applyAlignment="1">
      <alignment vertical="center"/>
    </xf>
    <xf numFmtId="0" fontId="27" fillId="0" borderId="24" xfId="89" applyFont="1" applyBorder="1" applyAlignment="1">
      <alignment horizontal="right"/>
      <protection/>
    </xf>
    <xf numFmtId="0" fontId="27" fillId="0" borderId="21" xfId="89" applyFont="1" applyBorder="1" applyAlignment="1">
      <alignment horizontal="right"/>
      <protection/>
    </xf>
    <xf numFmtId="0" fontId="27" fillId="0" borderId="107" xfId="89" applyFont="1" applyBorder="1" applyAlignment="1">
      <alignment horizontal="right"/>
      <protection/>
    </xf>
    <xf numFmtId="0" fontId="26" fillId="0" borderId="57" xfId="89" applyFont="1" applyBorder="1" applyAlignment="1">
      <alignment horizontal="right"/>
      <protection/>
    </xf>
    <xf numFmtId="0" fontId="26" fillId="0" borderId="54" xfId="89" applyFont="1" applyBorder="1" applyAlignment="1">
      <alignment horizontal="right"/>
      <protection/>
    </xf>
    <xf numFmtId="0" fontId="26" fillId="0" borderId="100" xfId="89" applyFont="1" applyBorder="1" applyAlignment="1">
      <alignment horizontal="right"/>
      <protection/>
    </xf>
    <xf numFmtId="0" fontId="26" fillId="0" borderId="24" xfId="89" applyFont="1" applyBorder="1" applyAlignment="1">
      <alignment horizontal="right"/>
      <protection/>
    </xf>
    <xf numFmtId="0" fontId="26" fillId="0" borderId="21" xfId="89" applyFont="1" applyBorder="1" applyAlignment="1">
      <alignment horizontal="right"/>
      <protection/>
    </xf>
    <xf numFmtId="0" fontId="27" fillId="0" borderId="81" xfId="89" applyFont="1" applyBorder="1" applyAlignment="1">
      <alignment horizontal="right"/>
      <protection/>
    </xf>
    <xf numFmtId="169" fontId="100" fillId="0" borderId="114" xfId="88" applyNumberFormat="1" applyFont="1" applyBorder="1" applyAlignment="1">
      <alignment horizontal="center" vertical="center" wrapText="1"/>
      <protection/>
    </xf>
    <xf numFmtId="0" fontId="27" fillId="0" borderId="13" xfId="89" applyFont="1" applyBorder="1" applyAlignment="1">
      <alignment horizontal="right"/>
      <protection/>
    </xf>
    <xf numFmtId="0" fontId="27" fillId="0" borderId="11" xfId="89" applyFont="1" applyBorder="1" applyAlignment="1">
      <alignment horizontal="right"/>
      <protection/>
    </xf>
    <xf numFmtId="0" fontId="27" fillId="0" borderId="106" xfId="89" applyFont="1" applyBorder="1" applyAlignment="1">
      <alignment horizontal="right"/>
      <protection/>
    </xf>
    <xf numFmtId="0" fontId="91" fillId="0" borderId="96" xfId="88" applyFont="1" applyFill="1" applyBorder="1" applyAlignment="1">
      <alignment horizontal="center" vertical="center" wrapText="1"/>
      <protection/>
    </xf>
    <xf numFmtId="0" fontId="100" fillId="0" borderId="0" xfId="88" applyFont="1" applyAlignment="1">
      <alignment horizontal="center" vertical="center"/>
      <protection/>
    </xf>
    <xf numFmtId="0" fontId="100" fillId="0" borderId="115" xfId="88" applyFont="1" applyBorder="1" applyAlignment="1">
      <alignment horizontal="center" vertical="center"/>
      <protection/>
    </xf>
    <xf numFmtId="0" fontId="100" fillId="0" borderId="116" xfId="88" applyFont="1" applyBorder="1" applyAlignment="1">
      <alignment horizontal="center" vertical="center"/>
      <protection/>
    </xf>
    <xf numFmtId="0" fontId="91" fillId="0" borderId="0" xfId="88" applyFont="1" applyFill="1" applyBorder="1" applyAlignment="1">
      <alignment horizontal="center" vertical="center" wrapText="1"/>
      <protection/>
    </xf>
    <xf numFmtId="0" fontId="27" fillId="0" borderId="14" xfId="88" applyFont="1" applyBorder="1" applyAlignment="1">
      <alignment horizontal="right"/>
      <protection/>
    </xf>
    <xf numFmtId="0" fontId="27" fillId="0" borderId="14" xfId="88" applyFont="1" applyBorder="1" applyAlignment="1">
      <alignment horizontal="center"/>
      <protection/>
    </xf>
    <xf numFmtId="0" fontId="24" fillId="0" borderId="115" xfId="88" applyFont="1" applyFill="1" applyBorder="1" applyAlignment="1">
      <alignment horizontal="center" vertical="center" wrapText="1"/>
      <protection/>
    </xf>
    <xf numFmtId="0" fontId="26" fillId="0" borderId="117" xfId="88" applyFont="1" applyFill="1" applyBorder="1" applyAlignment="1">
      <alignment horizontal="center" vertical="center" textRotation="90" wrapText="1"/>
      <protection/>
    </xf>
    <xf numFmtId="0" fontId="26" fillId="0" borderId="35" xfId="88" applyFont="1" applyFill="1" applyBorder="1" applyAlignment="1">
      <alignment horizontal="center" vertical="center" textRotation="90" wrapText="1"/>
      <protection/>
    </xf>
    <xf numFmtId="0" fontId="26" fillId="0" borderId="50" xfId="88" applyFont="1" applyBorder="1" applyAlignment="1">
      <alignment horizontal="center" vertical="center" textRotation="90" wrapText="1"/>
      <protection/>
    </xf>
    <xf numFmtId="0" fontId="26" fillId="0" borderId="117" xfId="88" applyFont="1" applyBorder="1" applyAlignment="1">
      <alignment horizontal="center" vertical="center" textRotation="90" wrapText="1"/>
      <protection/>
    </xf>
    <xf numFmtId="0" fontId="26" fillId="0" borderId="35" xfId="88" applyFont="1" applyBorder="1" applyAlignment="1">
      <alignment horizontal="center" vertical="center" textRotation="90" wrapText="1"/>
      <protection/>
    </xf>
    <xf numFmtId="0" fontId="24" fillId="0" borderId="118" xfId="88" applyFont="1" applyFill="1" applyBorder="1" applyAlignment="1">
      <alignment horizontal="center" vertical="center" wrapText="1"/>
      <protection/>
    </xf>
    <xf numFmtId="0" fontId="37" fillId="0" borderId="14" xfId="0" applyFont="1" applyBorder="1" applyAlignment="1">
      <alignment horizontal="right"/>
    </xf>
    <xf numFmtId="0" fontId="27" fillId="0" borderId="14" xfId="0" applyFont="1" applyBorder="1" applyAlignment="1">
      <alignment horizontal="center"/>
    </xf>
    <xf numFmtId="0" fontId="61" fillId="0" borderId="0" xfId="75" applyFont="1" applyAlignment="1">
      <alignment horizontal="center" vertical="center" wrapText="1"/>
      <protection/>
    </xf>
    <xf numFmtId="0" fontId="103" fillId="0" borderId="0" xfId="0" applyFont="1" applyAlignment="1">
      <alignment horizontal="center" vertical="center" wrapText="1"/>
    </xf>
    <xf numFmtId="0" fontId="103" fillId="0" borderId="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wrapText="1"/>
    </xf>
    <xf numFmtId="0" fontId="6" fillId="53" borderId="81" xfId="0" applyFont="1" applyFill="1" applyBorder="1" applyAlignment="1">
      <alignment horizontal="center" vertical="center" wrapText="1"/>
    </xf>
    <xf numFmtId="0" fontId="6" fillId="53" borderId="77" xfId="0" applyFont="1" applyFill="1" applyBorder="1" applyAlignment="1">
      <alignment horizontal="center" vertical="center" wrapText="1"/>
    </xf>
    <xf numFmtId="0" fontId="6" fillId="53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7" fillId="0" borderId="81" xfId="0" applyFont="1" applyFill="1" applyBorder="1" applyAlignment="1" applyProtection="1">
      <alignment horizontal="center" vertical="center" wrapText="1"/>
      <protection/>
    </xf>
    <xf numFmtId="0" fontId="7" fillId="0" borderId="77" xfId="0" applyFont="1" applyFill="1" applyBorder="1" applyAlignment="1" applyProtection="1">
      <alignment horizontal="center" vertical="center" wrapText="1"/>
      <protection/>
    </xf>
    <xf numFmtId="169" fontId="12" fillId="0" borderId="14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0" fontId="91" fillId="0" borderId="0" xfId="0" applyFont="1" applyAlignment="1">
      <alignment horizontal="left" wrapText="1"/>
    </xf>
    <xf numFmtId="0" fontId="91" fillId="0" borderId="114" xfId="0" applyFont="1" applyBorder="1" applyAlignment="1">
      <alignment horizontal="center" vertical="center" wrapText="1"/>
    </xf>
    <xf numFmtId="0" fontId="75" fillId="0" borderId="20" xfId="78" applyNumberFormat="1" applyFont="1" applyFill="1" applyBorder="1" applyAlignment="1">
      <alignment horizontal="left" vertical="top" wrapText="1"/>
      <protection/>
    </xf>
    <xf numFmtId="0" fontId="50" fillId="0" borderId="10" xfId="78" applyNumberFormat="1" applyFont="1" applyFill="1" applyBorder="1" applyAlignment="1">
      <alignment horizontal="left" vertical="top" wrapText="1"/>
      <protection/>
    </xf>
    <xf numFmtId="0" fontId="50" fillId="0" borderId="14" xfId="78" applyNumberFormat="1" applyFont="1" applyFill="1" applyBorder="1" applyAlignment="1">
      <alignment horizontal="left" vertical="top" wrapText="1"/>
      <protection/>
    </xf>
    <xf numFmtId="0" fontId="50" fillId="0" borderId="14" xfId="78" applyNumberFormat="1" applyFont="1" applyFill="1" applyBorder="1" applyAlignment="1">
      <alignment horizontal="left" vertical="top" wrapText="1" indent="8"/>
      <protection/>
    </xf>
    <xf numFmtId="0" fontId="35" fillId="0" borderId="13" xfId="78" applyFont="1" applyBorder="1" applyAlignment="1">
      <alignment horizontal="center" vertical="center"/>
      <protection/>
    </xf>
    <xf numFmtId="0" fontId="35" fillId="0" borderId="11" xfId="78" applyFont="1" applyBorder="1" applyAlignment="1">
      <alignment horizontal="center" vertical="center"/>
      <protection/>
    </xf>
    <xf numFmtId="0" fontId="35" fillId="0" borderId="19" xfId="78" applyFont="1" applyBorder="1" applyAlignment="1">
      <alignment horizontal="center" vertical="center"/>
      <protection/>
    </xf>
    <xf numFmtId="0" fontId="13" fillId="0" borderId="10" xfId="78" applyBorder="1" applyAlignment="1">
      <alignment horizontal="center"/>
      <protection/>
    </xf>
    <xf numFmtId="0" fontId="13" fillId="0" borderId="14" xfId="78" applyBorder="1" applyAlignment="1">
      <alignment horizontal="center"/>
      <protection/>
    </xf>
    <xf numFmtId="0" fontId="35" fillId="0" borderId="10" xfId="78" applyNumberFormat="1" applyFont="1" applyFill="1" applyBorder="1" applyAlignment="1">
      <alignment horizontal="left" vertical="top" wrapText="1"/>
      <protection/>
    </xf>
    <xf numFmtId="0" fontId="35" fillId="0" borderId="14" xfId="78" applyNumberFormat="1" applyFont="1" applyFill="1" applyBorder="1" applyAlignment="1">
      <alignment horizontal="left" vertical="top" wrapText="1"/>
      <protection/>
    </xf>
    <xf numFmtId="0" fontId="35" fillId="0" borderId="14" xfId="78" applyNumberFormat="1" applyFont="1" applyFill="1" applyBorder="1" applyAlignment="1">
      <alignment horizontal="left" vertical="top" wrapText="1"/>
      <protection/>
    </xf>
    <xf numFmtId="0" fontId="35" fillId="0" borderId="103" xfId="78" applyNumberFormat="1" applyFont="1" applyFill="1" applyBorder="1" applyAlignment="1">
      <alignment horizontal="left" vertical="top" wrapText="1"/>
      <protection/>
    </xf>
    <xf numFmtId="0" fontId="26" fillId="54" borderId="24" xfId="77" applyFont="1" applyFill="1" applyBorder="1" applyAlignment="1">
      <alignment horizontal="center" vertical="center" wrapText="1"/>
      <protection/>
    </xf>
    <xf numFmtId="0" fontId="26" fillId="54" borderId="21" xfId="77" applyFont="1" applyFill="1" applyBorder="1" applyAlignment="1">
      <alignment horizontal="center" vertical="center" wrapText="1"/>
      <protection/>
    </xf>
    <xf numFmtId="0" fontId="13" fillId="0" borderId="13" xfId="77" applyBorder="1" applyAlignment="1">
      <alignment horizontal="center" vertical="center"/>
      <protection/>
    </xf>
    <xf numFmtId="0" fontId="13" fillId="0" borderId="11" xfId="77" applyBorder="1" applyAlignment="1">
      <alignment horizontal="center" vertical="center"/>
      <protection/>
    </xf>
    <xf numFmtId="0" fontId="27" fillId="54" borderId="10" xfId="77" applyFont="1" applyFill="1" applyBorder="1" applyAlignment="1">
      <alignment horizontal="center" vertical="center" wrapText="1"/>
      <protection/>
    </xf>
    <xf numFmtId="0" fontId="27" fillId="54" borderId="14" xfId="77" applyFont="1" applyFill="1" applyBorder="1" applyAlignment="1">
      <alignment horizontal="center" vertical="center" wrapText="1"/>
      <protection/>
    </xf>
    <xf numFmtId="0" fontId="35" fillId="45" borderId="10" xfId="78" applyNumberFormat="1" applyFont="1" applyFill="1" applyBorder="1" applyAlignment="1">
      <alignment horizontal="left" vertical="top" wrapText="1"/>
      <protection/>
    </xf>
    <xf numFmtId="0" fontId="35" fillId="45" borderId="14" xfId="78" applyNumberFormat="1" applyFont="1" applyFill="1" applyBorder="1" applyAlignment="1">
      <alignment horizontal="left" vertical="top" wrapText="1"/>
      <protection/>
    </xf>
    <xf numFmtId="0" fontId="13" fillId="0" borderId="24" xfId="78" applyBorder="1" applyAlignment="1">
      <alignment horizontal="center" vertical="center" wrapText="1"/>
      <protection/>
    </xf>
    <xf numFmtId="0" fontId="13" fillId="0" borderId="21" xfId="78" applyBorder="1" applyAlignment="1">
      <alignment horizontal="center" vertical="center" wrapText="1"/>
      <protection/>
    </xf>
    <xf numFmtId="0" fontId="76" fillId="17" borderId="14" xfId="78" applyNumberFormat="1" applyFont="1" applyFill="1" applyBorder="1" applyAlignment="1">
      <alignment horizontal="left" vertical="top" wrapText="1"/>
      <protection/>
    </xf>
    <xf numFmtId="0" fontId="76" fillId="49" borderId="14" xfId="78" applyNumberFormat="1" applyFont="1" applyFill="1" applyBorder="1" applyAlignment="1">
      <alignment horizontal="left" vertical="top" wrapText="1"/>
      <protection/>
    </xf>
    <xf numFmtId="0" fontId="50" fillId="0" borderId="26" xfId="78" applyNumberFormat="1" applyFont="1" applyFill="1" applyBorder="1" applyAlignment="1">
      <alignment horizontal="left" vertical="top" wrapText="1" indent="8"/>
      <protection/>
    </xf>
    <xf numFmtId="0" fontId="35" fillId="0" borderId="54" xfId="78" applyNumberFormat="1" applyFont="1" applyFill="1" applyBorder="1" applyAlignment="1">
      <alignment horizontal="left" vertical="top"/>
      <protection/>
    </xf>
    <xf numFmtId="0" fontId="49" fillId="0" borderId="0" xfId="78" applyNumberFormat="1" applyFont="1" applyAlignment="1">
      <alignment horizontal="left" wrapText="1"/>
      <protection/>
    </xf>
    <xf numFmtId="0" fontId="35" fillId="0" borderId="14" xfId="78" applyNumberFormat="1" applyFont="1" applyFill="1" applyBorder="1" applyAlignment="1">
      <alignment horizontal="center" vertical="top" wrapText="1"/>
      <protection/>
    </xf>
    <xf numFmtId="0" fontId="0" fillId="0" borderId="14" xfId="78" applyNumberFormat="1" applyFont="1" applyFill="1" applyBorder="1" applyAlignment="1">
      <alignment horizontal="center" vertical="top" wrapText="1"/>
      <protection/>
    </xf>
    <xf numFmtId="0" fontId="50" fillId="0" borderId="14" xfId="78" applyNumberFormat="1" applyFont="1" applyFill="1" applyBorder="1" applyAlignment="1">
      <alignment horizontal="left" vertical="top" wrapText="1" indent="2"/>
      <protection/>
    </xf>
    <xf numFmtId="0" fontId="50" fillId="0" borderId="14" xfId="78" applyNumberFormat="1" applyFont="1" applyFill="1" applyBorder="1" applyAlignment="1">
      <alignment horizontal="left" vertical="top" wrapText="1" indent="4"/>
      <protection/>
    </xf>
    <xf numFmtId="0" fontId="50" fillId="0" borderId="14" xfId="78" applyNumberFormat="1" applyFont="1" applyFill="1" applyBorder="1" applyAlignment="1">
      <alignment horizontal="left" vertical="top" wrapText="1" indent="6"/>
      <protection/>
    </xf>
    <xf numFmtId="0" fontId="0" fillId="0" borderId="14" xfId="78" applyNumberFormat="1" applyFont="1" applyFill="1" applyBorder="1" applyAlignment="1">
      <alignment horizontal="left" vertical="top" wrapText="1"/>
      <protection/>
    </xf>
    <xf numFmtId="201" fontId="0" fillId="0" borderId="14" xfId="78" applyNumberFormat="1" applyFont="1" applyFill="1" applyBorder="1" applyAlignment="1">
      <alignment horizontal="center" vertical="top" wrapText="1"/>
      <protection/>
    </xf>
    <xf numFmtId="0" fontId="55" fillId="3" borderId="82" xfId="76" applyNumberFormat="1" applyFont="1" applyFill="1" applyBorder="1" applyAlignment="1">
      <alignment horizontal="left" vertical="top" wrapText="1" indent="1"/>
      <protection/>
    </xf>
    <xf numFmtId="0" fontId="50" fillId="0" borderId="82" xfId="76" applyNumberFormat="1" applyFont="1" applyBorder="1" applyAlignment="1">
      <alignment horizontal="left" vertical="top" wrapText="1" indent="2"/>
      <protection/>
    </xf>
    <xf numFmtId="0" fontId="13" fillId="0" borderId="14" xfId="78" applyNumberFormat="1" applyFont="1" applyBorder="1" applyAlignment="1">
      <alignment horizontal="left" vertical="top" wrapText="1"/>
      <protection/>
    </xf>
    <xf numFmtId="0" fontId="82" fillId="0" borderId="14" xfId="78" applyNumberFormat="1" applyFont="1" applyFill="1" applyBorder="1" applyAlignment="1">
      <alignment horizontal="left" vertical="top" wrapText="1" indent="6"/>
      <protection/>
    </xf>
    <xf numFmtId="0" fontId="35" fillId="0" borderId="0" xfId="78" applyNumberFormat="1" applyFont="1" applyAlignment="1">
      <alignment horizontal="left" wrapText="1"/>
      <protection/>
    </xf>
    <xf numFmtId="0" fontId="91" fillId="0" borderId="0" xfId="77" applyFont="1" applyFill="1" applyBorder="1" applyAlignment="1">
      <alignment horizontal="center" vertical="center" wrapText="1"/>
      <protection/>
    </xf>
    <xf numFmtId="0" fontId="55" fillId="3" borderId="83" xfId="76" applyNumberFormat="1" applyFont="1" applyFill="1" applyBorder="1" applyAlignment="1">
      <alignment horizontal="left" vertical="top" wrapText="1" indent="1"/>
      <protection/>
    </xf>
    <xf numFmtId="0" fontId="50" fillId="0" borderId="105" xfId="76" applyNumberFormat="1" applyFont="1" applyBorder="1" applyAlignment="1">
      <alignment horizontal="left" vertical="top" wrapText="1" indent="2"/>
      <protection/>
    </xf>
    <xf numFmtId="0" fontId="50" fillId="0" borderId="62" xfId="76" applyNumberFormat="1" applyFont="1" applyBorder="1" applyAlignment="1">
      <alignment horizontal="left" vertical="top" wrapText="1" indent="2"/>
      <protection/>
    </xf>
    <xf numFmtId="0" fontId="55" fillId="3" borderId="109" xfId="76" applyNumberFormat="1" applyFont="1" applyFill="1" applyBorder="1" applyAlignment="1">
      <alignment horizontal="left" vertical="top" wrapText="1" indent="1"/>
      <protection/>
    </xf>
    <xf numFmtId="0" fontId="0" fillId="0" borderId="93" xfId="0" applyBorder="1" applyAlignment="1">
      <alignment horizontal="center"/>
    </xf>
    <xf numFmtId="0" fontId="0" fillId="0" borderId="119" xfId="0" applyBorder="1" applyAlignment="1">
      <alignment horizontal="center"/>
    </xf>
    <xf numFmtId="0" fontId="35" fillId="0" borderId="97" xfId="0" applyFont="1" applyBorder="1" applyAlignment="1">
      <alignment horizontal="center" vertical="center" wrapText="1"/>
    </xf>
    <xf numFmtId="0" fontId="35" fillId="0" borderId="78" xfId="0" applyFont="1" applyBorder="1" applyAlignment="1">
      <alignment horizontal="center" vertical="center" wrapText="1"/>
    </xf>
    <xf numFmtId="0" fontId="35" fillId="0" borderId="120" xfId="0" applyFont="1" applyBorder="1" applyAlignment="1">
      <alignment horizontal="center" vertical="center" wrapText="1"/>
    </xf>
    <xf numFmtId="0" fontId="35" fillId="0" borderId="114" xfId="0" applyFont="1" applyBorder="1" applyAlignment="1">
      <alignment horizontal="center" vertical="center" wrapText="1"/>
    </xf>
    <xf numFmtId="0" fontId="35" fillId="0" borderId="121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right" wrapText="1"/>
    </xf>
    <xf numFmtId="0" fontId="35" fillId="0" borderId="14" xfId="0" applyFont="1" applyBorder="1" applyAlignment="1">
      <alignment horizontal="right" wrapText="1"/>
    </xf>
    <xf numFmtId="0" fontId="27" fillId="0" borderId="0" xfId="100" applyFont="1" applyAlignment="1">
      <alignment horizontal="left" vertical="center" wrapText="1"/>
      <protection/>
    </xf>
    <xf numFmtId="0" fontId="27" fillId="0" borderId="0" xfId="100" applyAlignment="1">
      <alignment horizontal="left" vertical="center" wrapText="1"/>
      <protection/>
    </xf>
    <xf numFmtId="0" fontId="27" fillId="0" borderId="0" xfId="100" applyFont="1" applyAlignment="1">
      <alignment horizontal="center" wrapText="1"/>
      <protection/>
    </xf>
    <xf numFmtId="0" fontId="39" fillId="0" borderId="30" xfId="100" applyFont="1" applyBorder="1" applyAlignment="1">
      <alignment horizontal="center" vertical="center" wrapText="1"/>
      <protection/>
    </xf>
    <xf numFmtId="0" fontId="39" fillId="0" borderId="30" xfId="81" applyFont="1" applyFill="1" applyBorder="1" applyAlignment="1" applyProtection="1">
      <alignment horizontal="center" vertical="center" wrapText="1"/>
      <protection/>
    </xf>
    <xf numFmtId="0" fontId="38" fillId="0" borderId="0" xfId="100" applyFont="1" applyBorder="1" applyAlignment="1">
      <alignment horizontal="right"/>
      <protection/>
    </xf>
    <xf numFmtId="0" fontId="47" fillId="0" borderId="0" xfId="100" applyFont="1" applyBorder="1" applyAlignment="1">
      <alignment horizontal="center" vertical="center"/>
      <protection/>
    </xf>
    <xf numFmtId="0" fontId="21" fillId="0" borderId="122" xfId="100" applyFont="1" applyBorder="1" applyAlignment="1">
      <alignment horizontal="center" vertical="center" wrapText="1"/>
      <protection/>
    </xf>
    <xf numFmtId="0" fontId="21" fillId="0" borderId="114" xfId="100" applyFont="1" applyBorder="1" applyAlignment="1">
      <alignment horizontal="center" vertical="center" wrapText="1"/>
      <protection/>
    </xf>
    <xf numFmtId="0" fontId="21" fillId="0" borderId="121" xfId="100" applyFont="1" applyBorder="1" applyAlignment="1">
      <alignment horizontal="center" vertical="center" wrapText="1"/>
      <protection/>
    </xf>
    <xf numFmtId="0" fontId="27" fillId="0" borderId="0" xfId="100" applyFont="1" applyAlignment="1">
      <alignment horizontal="center" vertical="center" wrapText="1"/>
      <protection/>
    </xf>
    <xf numFmtId="0" fontId="51" fillId="0" borderId="0" xfId="100" applyFont="1" applyAlignment="1">
      <alignment horizontal="center" vertical="center" wrapText="1"/>
      <protection/>
    </xf>
    <xf numFmtId="0" fontId="39" fillId="0" borderId="0" xfId="100" applyFont="1" applyBorder="1" applyAlignment="1">
      <alignment horizontal="right" vertical="center" wrapText="1"/>
      <protection/>
    </xf>
    <xf numFmtId="0" fontId="52" fillId="0" borderId="0" xfId="100" applyFont="1" applyBorder="1" applyAlignment="1">
      <alignment horizontal="center" vertical="center"/>
      <protection/>
    </xf>
    <xf numFmtId="0" fontId="39" fillId="0" borderId="13" xfId="100" applyFont="1" applyBorder="1" applyAlignment="1">
      <alignment horizontal="center" vertical="center" wrapText="1"/>
      <protection/>
    </xf>
    <xf numFmtId="0" fontId="39" fillId="0" borderId="10" xfId="100" applyFont="1" applyBorder="1" applyAlignment="1">
      <alignment horizontal="center" vertical="center" wrapText="1"/>
      <protection/>
    </xf>
    <xf numFmtId="0" fontId="39" fillId="0" borderId="11" xfId="81" applyFont="1" applyFill="1" applyBorder="1" applyAlignment="1" applyProtection="1">
      <alignment horizontal="center" vertical="center" wrapText="1"/>
      <protection/>
    </xf>
    <xf numFmtId="0" fontId="39" fillId="0" borderId="11" xfId="100" applyFont="1" applyBorder="1" applyAlignment="1">
      <alignment horizontal="center" vertical="center" wrapText="1"/>
      <protection/>
    </xf>
    <xf numFmtId="0" fontId="39" fillId="0" borderId="19" xfId="100" applyFont="1" applyBorder="1" applyAlignment="1">
      <alignment horizontal="center" vertical="center" wrapText="1"/>
      <protection/>
    </xf>
  </cellXfs>
  <cellStyles count="102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Значение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_BALANCE.WARM.2007YEAR(FACT)" xfId="73"/>
    <cellStyle name="Обычный_Kom kompleks 2" xfId="74"/>
    <cellStyle name="Обычный_администрация в тарифы 2014 после сокращения" xfId="75"/>
    <cellStyle name="Обычный_амортизация" xfId="76"/>
    <cellStyle name="Обычный_амортизация 2014" xfId="77"/>
    <cellStyle name="Обычный_Ведомость амортизации ОС  Нерехта" xfId="78"/>
    <cellStyle name="Обычный_Ведомость амортизации ОС за Январь 2015 г. Общество с ограниченной ответственностью Водоканалсервис" xfId="79"/>
    <cellStyle name="Обычный_Вода" xfId="80"/>
    <cellStyle name="Обычный_Вода_электроэнергия ВКС тарифы" xfId="81"/>
    <cellStyle name="Обычный_имуществ.комплекс" xfId="82"/>
    <cellStyle name="Обычный_Лист1" xfId="83"/>
    <cellStyle name="Обычный_Лист1_1" xfId="84"/>
    <cellStyle name="Обычный_Мониторирг по ВО на 2008 год jd 2" xfId="85"/>
    <cellStyle name="Обычный_общехоз расходы_1" xfId="86"/>
    <cellStyle name="Обычный_ОХР" xfId="87"/>
    <cellStyle name="Обычный_Расчет з-пл. Нерехта на 2016" xfId="88"/>
    <cellStyle name="Обычный_Расчет з-пл. Шарья 2016" xfId="89"/>
    <cellStyle name="Обычный_расчет тарифов на 2015 расчет тарифа методом индексации" xfId="90"/>
    <cellStyle name="Обычный_тарифы на 2002г с 1-01" xfId="91"/>
    <cellStyle name="Обычный_Тепло" xfId="92"/>
    <cellStyle name="Обычный_услуги ЕИРКЦ " xfId="93"/>
    <cellStyle name="Обычный_цехов" xfId="94"/>
    <cellStyle name="Обычный_цеховые затраты  (2)" xfId="95"/>
    <cellStyle name="Обычный_цеховые расходы" xfId="96"/>
    <cellStyle name="Обычный_Штатное расписание КСК 01 01 2010_администрация в тарифы 2014 после сокращения" xfId="97"/>
    <cellStyle name="Обычный_Штатное расписание КСК 01 01 2010_КАЛЬКУЛЯЦИЯ Шарья-2" xfId="98"/>
    <cellStyle name="Обычный_Электроэнергия" xfId="99"/>
    <cellStyle name="Обычный_электроэнергия ВКС тарифы" xfId="100"/>
    <cellStyle name="Followed Hyperlink" xfId="101"/>
    <cellStyle name="Плохой" xfId="102"/>
    <cellStyle name="Пояснение" xfId="103"/>
    <cellStyle name="Примечание" xfId="104"/>
    <cellStyle name="Percent" xfId="105"/>
    <cellStyle name="Процентный 2" xfId="106"/>
    <cellStyle name="Процентный_Расчет з-пл. Нерехта на 2016" xfId="107"/>
    <cellStyle name="Процентный_расчет тарифов на 2015 расчет тарифа методом индексации" xfId="108"/>
    <cellStyle name="Связанная ячейка" xfId="109"/>
    <cellStyle name="Стиль 1" xfId="110"/>
    <cellStyle name="Текст предупреждения" xfId="111"/>
    <cellStyle name="Comma" xfId="112"/>
    <cellStyle name="Comma [0]" xfId="113"/>
    <cellStyle name="Финансовый 2" xfId="114"/>
    <cellStyle name="Хороший" xfId="115"/>
  </cellStyles>
  <dxfs count="2"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19\Users\Users\orehova_i\Downloads\BALANCE.CALC.TARIFF.VSNA.2013YEAR%20&#1040;&#1085;&#1090;&#1088;&#1086;&#1087;&#1086;&#1074;&#1089;&#1082;&#1080;&#1081;%20&#1088;-&#1085;(v1.0.3)_(v1.0.5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19\Users\Users\BLESKI~1\AppData\Local\Temp\&#1054;&#1054;&#1054;%20&#1042;&#1086;&#1076;&#1086;&#1082;&#1072;&#1085;&#1072;&#1083;&#1089;&#1077;&#1088;&#1074;&#1080;&#1089;\Users\orehova_i\Downloads\BALANCE.CALC.TARIFF.VSNA.2013YEAR%20&#1040;&#1085;&#1090;&#1088;&#1086;&#1087;&#1086;&#1074;&#1089;&#1082;&#1080;&#1081;%20&#1088;-&#1085;(v1.0.3)_(v1.0.5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57;&#1084;&#1077;&#1090;&#1072;%20&#1079;&#1072;&#1090;&#1088;&#1072;&#1090;\&#1042;&#1086;&#1076;&#1086;&#1082;&#1072;&#1085;&#1072;&#1083;&#1089;&#1077;&#1088;&#1074;&#1080;&#1089;\&#1090;&#1072;&#1088;&#1080;&#1092;&#1099;\2015\&#1091;&#1090;&#1074;&#1077;&#1088;&#1078;&#1076;&#1077;&#1085;&#1086;%20&#1074;%202015\&#1050;&#1072;&#1083;&#1100;&#1082;&#1091;&#1083;&#1103;&#1094;&#1080;&#1103;%20&#1053;&#1077;&#1088;&#1077;&#1093;&#1090;&#1072;%20&#1086;&#1090;%20&#1076;&#1077;&#1087;&#1072;&#1088;&#1090;&#1072;&#1084;&#1077;&#1085;&#1090;&#1072;!!!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VLDIntegrityProv"/>
      <sheetName val="modVLDProv"/>
      <sheetName val="modVLDProvTM"/>
      <sheetName val="modBalPr"/>
      <sheetName val="modBalTr"/>
      <sheetName val="modCalc"/>
      <sheetName val="modCalcCombi"/>
      <sheetName val="modCalcYear"/>
      <sheetName val="modFuel"/>
      <sheetName val="modCommandButton"/>
      <sheetName val="modTM1"/>
      <sheetName val="modTM2"/>
      <sheetName val="modfrmTemplateMode"/>
      <sheetName val="modCloneData"/>
      <sheetName val="modfrmOrg"/>
      <sheetName val="modCommonProcedures"/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1 июл"/>
      <sheetName val="ТС.Т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БПр"/>
      <sheetName val="БТр"/>
      <sheetName val="К год"/>
      <sheetName val="К 1 янв"/>
      <sheetName val="К 1 июл"/>
      <sheetName val="ВС.К 1 сен"/>
      <sheetName val="ТМ1 1 янв"/>
      <sheetName val="ТМ1 1 июл"/>
      <sheetName val="ВС.ТМ1 1 сен"/>
      <sheetName val="ТМ2 1 янв"/>
      <sheetName val="ТМ2 1 июл"/>
      <sheetName val="ВС.ТМ2 1 сен"/>
      <sheetName val="ВО.БПр"/>
      <sheetName val="ВО.БТр"/>
      <sheetName val="ВО.К год"/>
      <sheetName val="ВО.К 1 янв"/>
      <sheetName val="ВО.К 1 июл"/>
      <sheetName val="ВО.К 1 сен"/>
      <sheetName val="ВО.ТМ1 1 янв"/>
      <sheetName val="ВО.ТМ1 1 июл"/>
      <sheetName val="ВО.ТМ1 1 сен"/>
      <sheetName val="ВО.ТМ2 1 янв"/>
      <sheetName val="ВО.ТМ2 1 июл"/>
      <sheetName val="ВО.ТМ2 1 сен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REGIONAL_LIST_ORG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VLD"/>
      <sheetName val="modDataRegion"/>
      <sheetName val="modDF"/>
      <sheetName val="modListOrg"/>
      <sheetName val="modfrmRegion"/>
      <sheetName val="modVLDProvGeneralProc"/>
      <sheetName val="modfrmCheckInIsInProgress"/>
      <sheetName val="modfrmPLAN1XUpdateIsInProgress"/>
      <sheetName val="modVLDOrgUniqueness"/>
      <sheetName val="modfrmReestr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frmRegCheckInIsInProgress"/>
      <sheetName val="modfrmRegUpdateIsInProgress"/>
      <sheetName val="ТБО.Т и Н 1 янв"/>
      <sheetName val="ТБО.Т и Н 1 июл"/>
      <sheetName val="ТБО.Т и Н 1 сен"/>
      <sheetName val="ТБО.К год"/>
      <sheetName val="ТБО.К 1 янв"/>
      <sheetName val="ТБО.К 1 июл"/>
      <sheetName val="ТБО.К 1 сен"/>
      <sheetName val="ТС.ДФ"/>
      <sheetName val="ВС.ДФ"/>
      <sheetName val="ВО.ДФ"/>
    </sheetNames>
    <sheetDataSet>
      <sheetData sheetId="19">
        <row r="7">
          <cell r="J7" t="str">
            <v>Антроповский муниципальный район</v>
          </cell>
        </row>
      </sheetData>
      <sheetData sheetId="20">
        <row r="6">
          <cell r="E6" t="str">
            <v>водоснабжения</v>
          </cell>
        </row>
        <row r="20">
          <cell r="E20" t="str">
            <v>Вид воды</v>
          </cell>
        </row>
        <row r="44">
          <cell r="E44" t="str">
            <v>BY_PSEUDO_YEARS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VLDIntegrityProv"/>
      <sheetName val="modVLDProv"/>
      <sheetName val="modVLDProvTM"/>
      <sheetName val="modBalPr"/>
      <sheetName val="modBalTr"/>
      <sheetName val="modCalc"/>
      <sheetName val="modCalcCombi"/>
      <sheetName val="modCalcYear"/>
      <sheetName val="modFuel"/>
      <sheetName val="modCommandButton"/>
      <sheetName val="modTM1"/>
      <sheetName val="modTM2"/>
      <sheetName val="modfrmTemplateMode"/>
      <sheetName val="modCloneData"/>
      <sheetName val="modfrmOrg"/>
      <sheetName val="modCommonProcedures"/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1 июл"/>
      <sheetName val="ТС.Т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БПр"/>
      <sheetName val="БТр"/>
      <sheetName val="К год"/>
      <sheetName val="К 1 янв"/>
      <sheetName val="К 1 июл"/>
      <sheetName val="ВС.К 1 сен"/>
      <sheetName val="ТМ1 1 янв"/>
      <sheetName val="ТМ1 1 июл"/>
      <sheetName val="ВС.ТМ1 1 сен"/>
      <sheetName val="ТМ2 1 янв"/>
      <sheetName val="ТМ2 1 июл"/>
      <sheetName val="ВС.ТМ2 1 сен"/>
      <sheetName val="ВО.БПр"/>
      <sheetName val="ВО.БТр"/>
      <sheetName val="ВО.К год"/>
      <sheetName val="ВО.К 1 янв"/>
      <sheetName val="ВО.К 1 июл"/>
      <sheetName val="ВО.К 1 сен"/>
      <sheetName val="ВО.ТМ1 1 янв"/>
      <sheetName val="ВО.ТМ1 1 июл"/>
      <sheetName val="ВО.ТМ1 1 сен"/>
      <sheetName val="ВО.ТМ2 1 янв"/>
      <sheetName val="ВО.ТМ2 1 июл"/>
      <sheetName val="ВО.ТМ2 1 сен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REGIONAL_LIST_ORG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VLD"/>
      <sheetName val="modDataRegion"/>
      <sheetName val="modDF"/>
      <sheetName val="modListOrg"/>
      <sheetName val="modfrmRegion"/>
      <sheetName val="modVLDProvGeneralProc"/>
      <sheetName val="modfrmCheckInIsInProgress"/>
      <sheetName val="modfrmPLAN1XUpdateIsInProgress"/>
      <sheetName val="modVLDOrgUniqueness"/>
      <sheetName val="modfrmReestr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frmRegCheckInIsInProgress"/>
      <sheetName val="modfrmRegUpdateIsInProgress"/>
      <sheetName val="ТБО.Т и Н 1 янв"/>
      <sheetName val="ТБО.Т и Н 1 июл"/>
      <sheetName val="ТБО.Т и Н 1 сен"/>
      <sheetName val="ТБО.К год"/>
      <sheetName val="ТБО.К 1 янв"/>
      <sheetName val="ТБО.К 1 июл"/>
      <sheetName val="ТБО.К 1 сен"/>
      <sheetName val="ТС.ДФ"/>
      <sheetName val="ВС.ДФ"/>
      <sheetName val="ВО.ДФ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одоснабжение "/>
      <sheetName val="водоотведение"/>
      <sheetName val="цеховые затраты "/>
      <sheetName val="ОХР"/>
      <sheetName val="прибыль"/>
      <sheetName val="прочие прямые расходы"/>
      <sheetName val="имуществ.комплекс"/>
      <sheetName val="ремонты"/>
      <sheetName val="ОСНОВНЫЕ"/>
      <sheetName val="ЦЕХОВЫЕ"/>
      <sheetName val="АУП"/>
      <sheetName val="кострома план "/>
      <sheetName val="энергосбережение"/>
      <sheetName val=" АМОРТИЗАЦИИ"/>
      <sheetName val="свод расходов"/>
      <sheetName val="тарифы нерехта"/>
      <sheetName val="ожидаем 2015"/>
      <sheetName val="ожидаем ст2015"/>
    </sheetNames>
    <sheetDataSet>
      <sheetData sheetId="0">
        <row r="38">
          <cell r="O38">
            <v>601.5671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85"/>
  <sheetViews>
    <sheetView zoomScalePageLayoutView="0" workbookViewId="0" topLeftCell="C1">
      <selection activeCell="N6" sqref="D5:N6"/>
    </sheetView>
  </sheetViews>
  <sheetFormatPr defaultColWidth="0.85546875" defaultRowHeight="13.5" customHeight="1"/>
  <cols>
    <col min="1" max="1" width="7.140625" style="428" customWidth="1"/>
    <col min="2" max="2" width="52.00390625" style="428" customWidth="1"/>
    <col min="3" max="3" width="11.140625" style="428" customWidth="1"/>
    <col min="4" max="4" width="12.421875" style="428" customWidth="1"/>
    <col min="5" max="5" width="12.7109375" style="428" customWidth="1"/>
    <col min="6" max="6" width="12.8515625" style="428" customWidth="1"/>
    <col min="7" max="7" width="13.421875" style="428" customWidth="1"/>
    <col min="8" max="8" width="13.140625" style="428" customWidth="1"/>
    <col min="9" max="11" width="14.421875" style="428" customWidth="1"/>
    <col min="12" max="12" width="18.00390625" style="428" customWidth="1"/>
    <col min="13" max="13" width="14.28125" style="428" customWidth="1"/>
    <col min="14" max="14" width="16.8515625" style="428" customWidth="1"/>
    <col min="15" max="15" width="9.140625" style="428" customWidth="1"/>
    <col min="16" max="17" width="8.28125" style="428" customWidth="1"/>
    <col min="18" max="16384" width="0.85546875" style="428" customWidth="1"/>
  </cols>
  <sheetData>
    <row r="2" ht="13.5" customHeight="1" hidden="1"/>
    <row r="3" spans="1:14" ht="29.25" customHeight="1">
      <c r="A3" s="1766" t="s">
        <v>1380</v>
      </c>
      <c r="B3" s="1766"/>
      <c r="C3" s="1766"/>
      <c r="D3" s="1766"/>
      <c r="E3" s="1766"/>
      <c r="F3" s="1766"/>
      <c r="G3" s="1766"/>
      <c r="H3" s="1766"/>
      <c r="I3" s="1766"/>
      <c r="J3" s="1766"/>
      <c r="K3" s="1766"/>
      <c r="L3" s="1766"/>
      <c r="M3" s="1766"/>
      <c r="N3" s="1766"/>
    </row>
    <row r="4" ht="13.5" customHeight="1" thickBot="1"/>
    <row r="5" spans="1:14" ht="33" customHeight="1">
      <c r="A5" s="811" t="s">
        <v>142</v>
      </c>
      <c r="B5" s="794" t="s">
        <v>1065</v>
      </c>
      <c r="C5" s="810" t="s">
        <v>685</v>
      </c>
      <c r="D5" s="1768" t="s">
        <v>1381</v>
      </c>
      <c r="E5" s="1768"/>
      <c r="F5" s="1768" t="s">
        <v>787</v>
      </c>
      <c r="G5" s="1768"/>
      <c r="H5" s="1768" t="s">
        <v>1382</v>
      </c>
      <c r="I5" s="1768"/>
      <c r="J5" s="1769" t="s">
        <v>788</v>
      </c>
      <c r="K5" s="1770"/>
      <c r="L5" s="812" t="s">
        <v>858</v>
      </c>
      <c r="M5" s="812" t="s">
        <v>859</v>
      </c>
      <c r="N5" s="812" t="s">
        <v>1383</v>
      </c>
    </row>
    <row r="6" spans="1:14" ht="33" customHeight="1">
      <c r="A6" s="797"/>
      <c r="B6" s="632"/>
      <c r="C6" s="632"/>
      <c r="D6" s="631" t="s">
        <v>942</v>
      </c>
      <c r="E6" s="632" t="s">
        <v>686</v>
      </c>
      <c r="F6" s="631" t="s">
        <v>942</v>
      </c>
      <c r="G6" s="632" t="s">
        <v>686</v>
      </c>
      <c r="H6" s="631" t="s">
        <v>942</v>
      </c>
      <c r="I6" s="632" t="s">
        <v>686</v>
      </c>
      <c r="J6" s="631" t="s">
        <v>942</v>
      </c>
      <c r="K6" s="631" t="s">
        <v>1386</v>
      </c>
      <c r="L6" s="632" t="s">
        <v>687</v>
      </c>
      <c r="M6" s="632" t="s">
        <v>687</v>
      </c>
      <c r="N6" s="813" t="s">
        <v>687</v>
      </c>
    </row>
    <row r="7" spans="1:14" ht="15.75" customHeight="1">
      <c r="A7" s="797">
        <v>1</v>
      </c>
      <c r="B7" s="632">
        <v>2</v>
      </c>
      <c r="C7" s="632">
        <v>3</v>
      </c>
      <c r="D7" s="632">
        <v>4</v>
      </c>
      <c r="E7" s="632">
        <v>5</v>
      </c>
      <c r="F7" s="632" t="s">
        <v>562</v>
      </c>
      <c r="G7" s="632" t="s">
        <v>563</v>
      </c>
      <c r="H7" s="632" t="s">
        <v>564</v>
      </c>
      <c r="I7" s="632" t="s">
        <v>565</v>
      </c>
      <c r="J7" s="632" t="s">
        <v>566</v>
      </c>
      <c r="K7" s="632" t="s">
        <v>567</v>
      </c>
      <c r="L7" s="632" t="s">
        <v>568</v>
      </c>
      <c r="M7" s="632" t="s">
        <v>569</v>
      </c>
      <c r="N7" s="632" t="s">
        <v>628</v>
      </c>
    </row>
    <row r="8" spans="1:16" ht="15" customHeight="1">
      <c r="A8" s="795">
        <v>1</v>
      </c>
      <c r="B8" s="783" t="s">
        <v>357</v>
      </c>
      <c r="C8" s="632"/>
      <c r="D8" s="633"/>
      <c r="E8" s="633"/>
      <c r="F8" s="633"/>
      <c r="G8" s="784"/>
      <c r="H8" s="633"/>
      <c r="I8" s="633"/>
      <c r="J8" s="633"/>
      <c r="K8" s="633"/>
      <c r="L8" s="633"/>
      <c r="M8" s="633"/>
      <c r="N8" s="796"/>
      <c r="P8" s="432"/>
    </row>
    <row r="9" spans="1:17" ht="23.25" customHeight="1">
      <c r="A9" s="797" t="s">
        <v>358</v>
      </c>
      <c r="B9" s="783" t="s">
        <v>1205</v>
      </c>
      <c r="C9" s="632" t="s">
        <v>359</v>
      </c>
      <c r="D9" s="636"/>
      <c r="E9" s="636"/>
      <c r="F9" s="636"/>
      <c r="G9" s="636"/>
      <c r="H9" s="636"/>
      <c r="I9" s="636"/>
      <c r="J9" s="636"/>
      <c r="K9" s="636"/>
      <c r="L9" s="634"/>
      <c r="M9" s="634"/>
      <c r="N9" s="798"/>
      <c r="P9" s="432"/>
      <c r="Q9" s="432"/>
    </row>
    <row r="10" spans="1:17" ht="23.25" customHeight="1">
      <c r="A10" s="797" t="s">
        <v>360</v>
      </c>
      <c r="B10" s="783" t="s">
        <v>1384</v>
      </c>
      <c r="C10" s="632" t="s">
        <v>359</v>
      </c>
      <c r="D10" s="636"/>
      <c r="E10" s="636"/>
      <c r="F10" s="636"/>
      <c r="G10" s="636"/>
      <c r="H10" s="636"/>
      <c r="I10" s="636"/>
      <c r="J10" s="636"/>
      <c r="K10" s="636"/>
      <c r="L10" s="634"/>
      <c r="M10" s="634"/>
      <c r="N10" s="798"/>
      <c r="P10" s="432"/>
      <c r="Q10" s="432"/>
    </row>
    <row r="11" spans="1:16" ht="21" customHeight="1">
      <c r="A11" s="797" t="s">
        <v>753</v>
      </c>
      <c r="B11" s="785" t="s">
        <v>361</v>
      </c>
      <c r="C11" s="632" t="s">
        <v>359</v>
      </c>
      <c r="D11" s="635"/>
      <c r="E11" s="633"/>
      <c r="F11" s="636"/>
      <c r="G11" s="636"/>
      <c r="H11" s="635"/>
      <c r="I11" s="636"/>
      <c r="J11" s="636"/>
      <c r="K11" s="636"/>
      <c r="L11" s="636"/>
      <c r="M11" s="636"/>
      <c r="N11" s="799"/>
      <c r="P11" s="429"/>
    </row>
    <row r="12" spans="1:14" ht="30" customHeight="1" hidden="1">
      <c r="A12" s="797" t="s">
        <v>362</v>
      </c>
      <c r="B12" s="786" t="s">
        <v>363</v>
      </c>
      <c r="C12" s="632" t="s">
        <v>359</v>
      </c>
      <c r="D12" s="633"/>
      <c r="E12" s="633"/>
      <c r="F12" s="633"/>
      <c r="G12" s="633"/>
      <c r="H12" s="633"/>
      <c r="I12" s="633"/>
      <c r="J12" s="633"/>
      <c r="K12" s="633"/>
      <c r="L12" s="633"/>
      <c r="M12" s="633"/>
      <c r="N12" s="796"/>
    </row>
    <row r="13" spans="1:14" ht="15" customHeight="1" hidden="1">
      <c r="A13" s="797" t="s">
        <v>364</v>
      </c>
      <c r="B13" s="785" t="s">
        <v>365</v>
      </c>
      <c r="C13" s="632" t="s">
        <v>359</v>
      </c>
      <c r="D13" s="633"/>
      <c r="E13" s="633"/>
      <c r="F13" s="633"/>
      <c r="G13" s="633"/>
      <c r="H13" s="633"/>
      <c r="I13" s="633"/>
      <c r="J13" s="633"/>
      <c r="K13" s="633"/>
      <c r="L13" s="633"/>
      <c r="M13" s="633"/>
      <c r="N13" s="796"/>
    </row>
    <row r="14" spans="1:14" ht="15" customHeight="1" hidden="1">
      <c r="A14" s="797" t="s">
        <v>366</v>
      </c>
      <c r="B14" s="785" t="s">
        <v>367</v>
      </c>
      <c r="C14" s="632" t="s">
        <v>359</v>
      </c>
      <c r="D14" s="633"/>
      <c r="E14" s="633"/>
      <c r="F14" s="633"/>
      <c r="G14" s="633"/>
      <c r="H14" s="633"/>
      <c r="I14" s="633"/>
      <c r="J14" s="633"/>
      <c r="K14" s="633"/>
      <c r="L14" s="633"/>
      <c r="M14" s="633"/>
      <c r="N14" s="796"/>
    </row>
    <row r="15" spans="1:14" ht="15" customHeight="1" hidden="1">
      <c r="A15" s="797" t="s">
        <v>368</v>
      </c>
      <c r="B15" s="785" t="s">
        <v>369</v>
      </c>
      <c r="C15" s="632" t="s">
        <v>359</v>
      </c>
      <c r="D15" s="636"/>
      <c r="E15" s="636"/>
      <c r="F15" s="636"/>
      <c r="G15" s="636"/>
      <c r="H15" s="636"/>
      <c r="I15" s="633"/>
      <c r="J15" s="633"/>
      <c r="K15" s="633"/>
      <c r="L15" s="633"/>
      <c r="M15" s="633"/>
      <c r="N15" s="796"/>
    </row>
    <row r="16" spans="1:14" ht="15" customHeight="1" hidden="1">
      <c r="A16" s="795">
        <v>2</v>
      </c>
      <c r="B16" s="783" t="s">
        <v>370</v>
      </c>
      <c r="C16" s="632"/>
      <c r="D16" s="633"/>
      <c r="E16" s="633"/>
      <c r="F16" s="633"/>
      <c r="G16" s="633"/>
      <c r="H16" s="633"/>
      <c r="I16" s="633"/>
      <c r="J16" s="633"/>
      <c r="K16" s="633"/>
      <c r="L16" s="633"/>
      <c r="M16" s="633"/>
      <c r="N16" s="796"/>
    </row>
    <row r="17" spans="1:14" ht="15" customHeight="1" hidden="1">
      <c r="A17" s="797" t="s">
        <v>371</v>
      </c>
      <c r="B17" s="785" t="s">
        <v>372</v>
      </c>
      <c r="C17" s="632" t="s">
        <v>359</v>
      </c>
      <c r="D17" s="633"/>
      <c r="E17" s="633"/>
      <c r="F17" s="633"/>
      <c r="G17" s="633"/>
      <c r="H17" s="633"/>
      <c r="I17" s="633"/>
      <c r="J17" s="633"/>
      <c r="K17" s="633"/>
      <c r="L17" s="633"/>
      <c r="M17" s="633"/>
      <c r="N17" s="796"/>
    </row>
    <row r="18" spans="1:14" ht="15" customHeight="1" hidden="1">
      <c r="A18" s="797" t="s">
        <v>373</v>
      </c>
      <c r="B18" s="785" t="s">
        <v>374</v>
      </c>
      <c r="C18" s="632" t="s">
        <v>359</v>
      </c>
      <c r="D18" s="633"/>
      <c r="E18" s="633"/>
      <c r="F18" s="633"/>
      <c r="G18" s="633"/>
      <c r="H18" s="633"/>
      <c r="I18" s="633"/>
      <c r="J18" s="633"/>
      <c r="K18" s="633"/>
      <c r="L18" s="633"/>
      <c r="M18" s="633"/>
      <c r="N18" s="796"/>
    </row>
    <row r="19" spans="1:14" ht="15" customHeight="1" hidden="1">
      <c r="A19" s="797" t="s">
        <v>375</v>
      </c>
      <c r="B19" s="785" t="s">
        <v>376</v>
      </c>
      <c r="C19" s="632" t="s">
        <v>359</v>
      </c>
      <c r="D19" s="633"/>
      <c r="E19" s="633"/>
      <c r="F19" s="633"/>
      <c r="G19" s="633"/>
      <c r="H19" s="633"/>
      <c r="I19" s="633"/>
      <c r="J19" s="633"/>
      <c r="K19" s="633"/>
      <c r="L19" s="633"/>
      <c r="M19" s="633"/>
      <c r="N19" s="796"/>
    </row>
    <row r="20" spans="1:16" ht="12" customHeight="1">
      <c r="A20" s="795"/>
      <c r="B20" s="783"/>
      <c r="C20" s="632"/>
      <c r="D20" s="633"/>
      <c r="E20" s="633"/>
      <c r="F20" s="633"/>
      <c r="G20" s="633"/>
      <c r="H20" s="633"/>
      <c r="I20" s="633"/>
      <c r="J20" s="633"/>
      <c r="K20" s="633"/>
      <c r="L20" s="633"/>
      <c r="M20" s="633"/>
      <c r="N20" s="796"/>
      <c r="P20" s="429"/>
    </row>
    <row r="21" spans="1:16" ht="24" customHeight="1">
      <c r="A21" s="795">
        <v>2</v>
      </c>
      <c r="B21" s="783" t="s">
        <v>1207</v>
      </c>
      <c r="C21" s="632" t="s">
        <v>359</v>
      </c>
      <c r="D21" s="636"/>
      <c r="E21" s="636"/>
      <c r="F21" s="636"/>
      <c r="G21" s="636"/>
      <c r="H21" s="636"/>
      <c r="I21" s="636"/>
      <c r="J21" s="636"/>
      <c r="K21" s="636"/>
      <c r="L21" s="636"/>
      <c r="M21" s="636"/>
      <c r="N21" s="799"/>
      <c r="P21" s="429"/>
    </row>
    <row r="22" spans="1:16" ht="27.75" customHeight="1">
      <c r="A22" s="797" t="s">
        <v>377</v>
      </c>
      <c r="B22" s="785" t="s">
        <v>1286</v>
      </c>
      <c r="C22" s="632" t="s">
        <v>359</v>
      </c>
      <c r="D22" s="636"/>
      <c r="E22" s="636"/>
      <c r="F22" s="636"/>
      <c r="G22" s="636"/>
      <c r="H22" s="636"/>
      <c r="I22" s="636"/>
      <c r="J22" s="636"/>
      <c r="K22" s="636"/>
      <c r="L22" s="636"/>
      <c r="M22" s="636"/>
      <c r="N22" s="799"/>
      <c r="P22" s="429"/>
    </row>
    <row r="23" spans="1:14" ht="15" customHeight="1" hidden="1">
      <c r="A23" s="797" t="s">
        <v>378</v>
      </c>
      <c r="B23" s="785" t="s">
        <v>379</v>
      </c>
      <c r="C23" s="632" t="s">
        <v>359</v>
      </c>
      <c r="D23" s="633"/>
      <c r="E23" s="633"/>
      <c r="F23" s="633"/>
      <c r="G23" s="633"/>
      <c r="H23" s="633"/>
      <c r="I23" s="633"/>
      <c r="J23" s="633"/>
      <c r="K23" s="633"/>
      <c r="L23" s="633"/>
      <c r="M23" s="633"/>
      <c r="N23" s="796"/>
    </row>
    <row r="24" spans="1:16" ht="21.75" customHeight="1" hidden="1">
      <c r="A24" s="797"/>
      <c r="B24" s="786"/>
      <c r="C24" s="632"/>
      <c r="D24" s="633"/>
      <c r="E24" s="633"/>
      <c r="F24" s="633"/>
      <c r="G24" s="633"/>
      <c r="H24" s="633"/>
      <c r="I24" s="633"/>
      <c r="J24" s="633"/>
      <c r="K24" s="633"/>
      <c r="L24" s="633"/>
      <c r="M24" s="633"/>
      <c r="N24" s="796"/>
      <c r="P24" s="432"/>
    </row>
    <row r="25" spans="1:16" ht="24.75" customHeight="1">
      <c r="A25" s="797" t="s">
        <v>373</v>
      </c>
      <c r="B25" s="783" t="s">
        <v>380</v>
      </c>
      <c r="C25" s="632" t="s">
        <v>359</v>
      </c>
      <c r="D25" s="636"/>
      <c r="E25" s="636"/>
      <c r="F25" s="636"/>
      <c r="G25" s="636"/>
      <c r="H25" s="787"/>
      <c r="I25" s="636"/>
      <c r="J25" s="636"/>
      <c r="K25" s="636"/>
      <c r="L25" s="636"/>
      <c r="M25" s="636"/>
      <c r="N25" s="799"/>
      <c r="P25" s="727"/>
    </row>
    <row r="26" spans="1:16" ht="26.25" customHeight="1">
      <c r="A26" s="797" t="s">
        <v>375</v>
      </c>
      <c r="B26" s="785" t="s">
        <v>381</v>
      </c>
      <c r="C26" s="632" t="s">
        <v>359</v>
      </c>
      <c r="D26" s="636"/>
      <c r="E26" s="636"/>
      <c r="F26" s="635"/>
      <c r="G26" s="788"/>
      <c r="H26" s="635"/>
      <c r="I26" s="636"/>
      <c r="J26" s="636"/>
      <c r="K26" s="636"/>
      <c r="L26" s="635"/>
      <c r="M26" s="635"/>
      <c r="N26" s="800"/>
      <c r="P26" s="437"/>
    </row>
    <row r="27" spans="1:16" ht="21.75" customHeight="1" hidden="1">
      <c r="A27" s="801" t="s">
        <v>321</v>
      </c>
      <c r="B27" s="790" t="s">
        <v>866</v>
      </c>
      <c r="C27" s="789" t="s">
        <v>359</v>
      </c>
      <c r="D27" s="636"/>
      <c r="E27" s="636"/>
      <c r="F27" s="635"/>
      <c r="G27" s="788"/>
      <c r="H27" s="635"/>
      <c r="I27" s="728"/>
      <c r="J27" s="728"/>
      <c r="K27" s="728"/>
      <c r="L27" s="728"/>
      <c r="M27" s="728"/>
      <c r="N27" s="802"/>
      <c r="P27" s="623"/>
    </row>
    <row r="28" spans="1:17" ht="27.75" customHeight="1">
      <c r="A28" s="797" t="s">
        <v>382</v>
      </c>
      <c r="B28" s="785" t="s">
        <v>1287</v>
      </c>
      <c r="C28" s="632" t="s">
        <v>359</v>
      </c>
      <c r="D28" s="636"/>
      <c r="E28" s="636"/>
      <c r="F28" s="636"/>
      <c r="G28" s="636"/>
      <c r="H28" s="636"/>
      <c r="I28" s="636"/>
      <c r="J28" s="636"/>
      <c r="K28" s="636"/>
      <c r="L28" s="636"/>
      <c r="M28" s="636"/>
      <c r="N28" s="799"/>
      <c r="O28" s="432"/>
      <c r="P28" s="432"/>
      <c r="Q28" s="727"/>
    </row>
    <row r="29" spans="1:16" ht="30" customHeight="1" hidden="1">
      <c r="A29" s="797" t="s">
        <v>384</v>
      </c>
      <c r="B29" s="786" t="s">
        <v>385</v>
      </c>
      <c r="C29" s="632" t="s">
        <v>359</v>
      </c>
      <c r="D29" s="633"/>
      <c r="E29" s="635"/>
      <c r="F29" s="633"/>
      <c r="G29" s="788"/>
      <c r="H29" s="633"/>
      <c r="I29" s="633"/>
      <c r="J29" s="633"/>
      <c r="K29" s="633"/>
      <c r="L29" s="635"/>
      <c r="M29" s="635"/>
      <c r="N29" s="800"/>
      <c r="P29" s="432"/>
    </row>
    <row r="30" spans="1:16" ht="15" customHeight="1" hidden="1">
      <c r="A30" s="795">
        <v>4</v>
      </c>
      <c r="B30" s="783" t="s">
        <v>386</v>
      </c>
      <c r="C30" s="632"/>
      <c r="D30" s="633"/>
      <c r="E30" s="633"/>
      <c r="F30" s="633"/>
      <c r="G30" s="633"/>
      <c r="H30" s="633"/>
      <c r="I30" s="633"/>
      <c r="J30" s="633"/>
      <c r="K30" s="633"/>
      <c r="L30" s="633"/>
      <c r="M30" s="633"/>
      <c r="N30" s="796"/>
      <c r="P30" s="432"/>
    </row>
    <row r="31" spans="1:16" ht="15" customHeight="1" hidden="1">
      <c r="A31" s="797" t="s">
        <v>387</v>
      </c>
      <c r="B31" s="785" t="s">
        <v>388</v>
      </c>
      <c r="C31" s="632" t="s">
        <v>359</v>
      </c>
      <c r="D31" s="633"/>
      <c r="E31" s="633"/>
      <c r="F31" s="633"/>
      <c r="G31" s="633"/>
      <c r="H31" s="633"/>
      <c r="I31" s="633"/>
      <c r="J31" s="633"/>
      <c r="K31" s="633"/>
      <c r="L31" s="633"/>
      <c r="M31" s="633"/>
      <c r="N31" s="796"/>
      <c r="P31" s="432"/>
    </row>
    <row r="32" spans="1:16" ht="15" customHeight="1" hidden="1">
      <c r="A32" s="797" t="s">
        <v>389</v>
      </c>
      <c r="B32" s="785" t="s">
        <v>380</v>
      </c>
      <c r="C32" s="632" t="s">
        <v>359</v>
      </c>
      <c r="D32" s="633"/>
      <c r="E32" s="633"/>
      <c r="F32" s="633"/>
      <c r="G32" s="633"/>
      <c r="H32" s="633"/>
      <c r="I32" s="633"/>
      <c r="J32" s="633"/>
      <c r="K32" s="633"/>
      <c r="L32" s="633"/>
      <c r="M32" s="633"/>
      <c r="N32" s="796"/>
      <c r="P32" s="432"/>
    </row>
    <row r="33" spans="1:16" ht="15" customHeight="1" hidden="1">
      <c r="A33" s="797" t="s">
        <v>390</v>
      </c>
      <c r="B33" s="785" t="s">
        <v>381</v>
      </c>
      <c r="C33" s="632" t="s">
        <v>359</v>
      </c>
      <c r="D33" s="633"/>
      <c r="E33" s="633"/>
      <c r="F33" s="633"/>
      <c r="G33" s="633"/>
      <c r="H33" s="633"/>
      <c r="I33" s="633"/>
      <c r="J33" s="633"/>
      <c r="K33" s="633"/>
      <c r="L33" s="633"/>
      <c r="M33" s="633"/>
      <c r="N33" s="796"/>
      <c r="P33" s="432"/>
    </row>
    <row r="34" spans="1:16" ht="15" customHeight="1" hidden="1">
      <c r="A34" s="797" t="s">
        <v>391</v>
      </c>
      <c r="B34" s="785" t="s">
        <v>383</v>
      </c>
      <c r="C34" s="632" t="s">
        <v>359</v>
      </c>
      <c r="D34" s="633"/>
      <c r="E34" s="633"/>
      <c r="F34" s="633"/>
      <c r="G34" s="633"/>
      <c r="H34" s="633"/>
      <c r="I34" s="633"/>
      <c r="J34" s="633"/>
      <c r="K34" s="633"/>
      <c r="L34" s="633"/>
      <c r="M34" s="633"/>
      <c r="N34" s="796"/>
      <c r="P34" s="432"/>
    </row>
    <row r="35" spans="1:16" ht="15" customHeight="1" hidden="1">
      <c r="A35" s="795">
        <v>5</v>
      </c>
      <c r="B35" s="783" t="s">
        <v>392</v>
      </c>
      <c r="C35" s="632"/>
      <c r="D35" s="633"/>
      <c r="E35" s="633"/>
      <c r="F35" s="633"/>
      <c r="G35" s="633"/>
      <c r="H35" s="633"/>
      <c r="I35" s="633"/>
      <c r="J35" s="633"/>
      <c r="K35" s="633"/>
      <c r="L35" s="633"/>
      <c r="M35" s="633"/>
      <c r="N35" s="796"/>
      <c r="P35" s="432"/>
    </row>
    <row r="36" spans="1:16" ht="15" customHeight="1" hidden="1">
      <c r="A36" s="797" t="s">
        <v>393</v>
      </c>
      <c r="B36" s="785" t="s">
        <v>388</v>
      </c>
      <c r="C36" s="632" t="s">
        <v>359</v>
      </c>
      <c r="D36" s="633"/>
      <c r="E36" s="633"/>
      <c r="F36" s="633"/>
      <c r="G36" s="633"/>
      <c r="H36" s="633"/>
      <c r="I36" s="633"/>
      <c r="J36" s="633"/>
      <c r="K36" s="633"/>
      <c r="L36" s="633"/>
      <c r="M36" s="633"/>
      <c r="N36" s="796"/>
      <c r="P36" s="432"/>
    </row>
    <row r="37" spans="1:16" ht="15" customHeight="1" hidden="1">
      <c r="A37" s="797" t="s">
        <v>394</v>
      </c>
      <c r="B37" s="785" t="s">
        <v>380</v>
      </c>
      <c r="C37" s="632" t="s">
        <v>359</v>
      </c>
      <c r="D37" s="633"/>
      <c r="E37" s="633"/>
      <c r="F37" s="633"/>
      <c r="G37" s="633"/>
      <c r="H37" s="633"/>
      <c r="I37" s="633"/>
      <c r="J37" s="633"/>
      <c r="K37" s="633"/>
      <c r="L37" s="633"/>
      <c r="M37" s="633"/>
      <c r="N37" s="796"/>
      <c r="P37" s="432"/>
    </row>
    <row r="38" spans="1:16" ht="15" customHeight="1" hidden="1">
      <c r="A38" s="797" t="s">
        <v>395</v>
      </c>
      <c r="B38" s="785" t="s">
        <v>381</v>
      </c>
      <c r="C38" s="632" t="s">
        <v>359</v>
      </c>
      <c r="D38" s="633"/>
      <c r="E38" s="633"/>
      <c r="F38" s="633"/>
      <c r="G38" s="633"/>
      <c r="H38" s="633"/>
      <c r="I38" s="633"/>
      <c r="J38" s="633"/>
      <c r="K38" s="633"/>
      <c r="L38" s="633"/>
      <c r="M38" s="633"/>
      <c r="N38" s="796"/>
      <c r="P38" s="432"/>
    </row>
    <row r="39" spans="1:16" ht="15" customHeight="1" hidden="1">
      <c r="A39" s="797" t="s">
        <v>396</v>
      </c>
      <c r="B39" s="785" t="s">
        <v>383</v>
      </c>
      <c r="C39" s="632" t="s">
        <v>359</v>
      </c>
      <c r="D39" s="633"/>
      <c r="E39" s="633"/>
      <c r="F39" s="633"/>
      <c r="G39" s="633"/>
      <c r="H39" s="633"/>
      <c r="I39" s="633"/>
      <c r="J39" s="633"/>
      <c r="K39" s="633"/>
      <c r="L39" s="633"/>
      <c r="M39" s="633"/>
      <c r="N39" s="796"/>
      <c r="P39" s="432"/>
    </row>
    <row r="40" spans="1:16" ht="32.25" customHeight="1">
      <c r="A40" s="795" t="s">
        <v>148</v>
      </c>
      <c r="B40" s="783" t="s">
        <v>1288</v>
      </c>
      <c r="C40" s="632"/>
      <c r="D40" s="634"/>
      <c r="E40" s="634"/>
      <c r="F40" s="634"/>
      <c r="G40" s="634"/>
      <c r="H40" s="634"/>
      <c r="I40" s="634"/>
      <c r="J40" s="634"/>
      <c r="K40" s="634"/>
      <c r="L40" s="634"/>
      <c r="M40" s="634"/>
      <c r="N40" s="798"/>
      <c r="P40" s="432" t="e">
        <f>L40/I40</f>
        <v>#DIV/0!</v>
      </c>
    </row>
    <row r="41" spans="1:16" ht="20.25" customHeight="1" hidden="1">
      <c r="A41" s="797"/>
      <c r="B41" s="783" t="s">
        <v>397</v>
      </c>
      <c r="C41" s="632" t="s">
        <v>359</v>
      </c>
      <c r="D41" s="636"/>
      <c r="E41" s="636"/>
      <c r="F41" s="636"/>
      <c r="G41" s="636"/>
      <c r="H41" s="636"/>
      <c r="I41" s="636"/>
      <c r="J41" s="636"/>
      <c r="K41" s="636"/>
      <c r="L41" s="636"/>
      <c r="M41" s="636"/>
      <c r="N41" s="636"/>
      <c r="O41" s="429"/>
      <c r="P41" s="432"/>
    </row>
    <row r="42" spans="1:16" ht="16.5" customHeight="1" hidden="1">
      <c r="A42" s="797"/>
      <c r="B42" s="785" t="s">
        <v>398</v>
      </c>
      <c r="C42" s="632" t="s">
        <v>359</v>
      </c>
      <c r="D42" s="633"/>
      <c r="E42" s="635"/>
      <c r="F42" s="633"/>
      <c r="G42" s="633"/>
      <c r="H42" s="633"/>
      <c r="I42" s="633"/>
      <c r="J42" s="633"/>
      <c r="K42" s="633"/>
      <c r="L42" s="633"/>
      <c r="M42" s="633"/>
      <c r="N42" s="796"/>
      <c r="O42" s="430"/>
      <c r="P42" s="432"/>
    </row>
    <row r="43" spans="1:16" ht="16.5" customHeight="1" hidden="1">
      <c r="A43" s="797"/>
      <c r="B43" s="785" t="s">
        <v>399</v>
      </c>
      <c r="C43" s="632" t="s">
        <v>359</v>
      </c>
      <c r="D43" s="633"/>
      <c r="E43" s="636"/>
      <c r="F43" s="633"/>
      <c r="G43" s="791"/>
      <c r="H43" s="633"/>
      <c r="I43" s="633"/>
      <c r="J43" s="633"/>
      <c r="K43" s="633"/>
      <c r="L43" s="633"/>
      <c r="M43" s="633"/>
      <c r="N43" s="796"/>
      <c r="P43" s="432"/>
    </row>
    <row r="44" spans="1:16" ht="21.75" customHeight="1" hidden="1">
      <c r="A44" s="797"/>
      <c r="B44" s="785" t="s">
        <v>400</v>
      </c>
      <c r="C44" s="632" t="s">
        <v>359</v>
      </c>
      <c r="D44" s="633"/>
      <c r="E44" s="633"/>
      <c r="F44" s="633"/>
      <c r="G44" s="633"/>
      <c r="H44" s="633"/>
      <c r="I44" s="633"/>
      <c r="J44" s="633"/>
      <c r="K44" s="633"/>
      <c r="L44" s="633"/>
      <c r="M44" s="633"/>
      <c r="N44" s="796"/>
      <c r="P44" s="432"/>
    </row>
    <row r="45" spans="1:16" ht="15" customHeight="1" hidden="1">
      <c r="A45" s="797"/>
      <c r="B45" s="785" t="s">
        <v>401</v>
      </c>
      <c r="C45" s="632" t="s">
        <v>359</v>
      </c>
      <c r="D45" s="633"/>
      <c r="E45" s="633"/>
      <c r="F45" s="633"/>
      <c r="G45" s="633"/>
      <c r="H45" s="633"/>
      <c r="I45" s="633"/>
      <c r="J45" s="633"/>
      <c r="K45" s="633"/>
      <c r="L45" s="633"/>
      <c r="M45" s="633"/>
      <c r="N45" s="796"/>
      <c r="P45" s="432"/>
    </row>
    <row r="46" spans="1:16" ht="15" customHeight="1" hidden="1">
      <c r="A46" s="797"/>
      <c r="B46" s="785" t="s">
        <v>704</v>
      </c>
      <c r="C46" s="632" t="s">
        <v>359</v>
      </c>
      <c r="D46" s="633"/>
      <c r="E46" s="633"/>
      <c r="F46" s="633"/>
      <c r="G46" s="633"/>
      <c r="H46" s="633"/>
      <c r="I46" s="633"/>
      <c r="J46" s="633"/>
      <c r="K46" s="633"/>
      <c r="L46" s="633"/>
      <c r="M46" s="633"/>
      <c r="N46" s="796"/>
      <c r="P46" s="432"/>
    </row>
    <row r="47" spans="1:16" ht="19.5" customHeight="1" hidden="1">
      <c r="A47" s="797"/>
      <c r="B47" s="783" t="s">
        <v>705</v>
      </c>
      <c r="C47" s="632" t="s">
        <v>359</v>
      </c>
      <c r="D47" s="633"/>
      <c r="E47" s="633"/>
      <c r="F47" s="633"/>
      <c r="G47" s="633"/>
      <c r="H47" s="633"/>
      <c r="I47" s="633"/>
      <c r="J47" s="633"/>
      <c r="K47" s="633"/>
      <c r="L47" s="633"/>
      <c r="M47" s="633"/>
      <c r="N47" s="796"/>
      <c r="P47" s="432"/>
    </row>
    <row r="48" spans="1:16" ht="31.5" customHeight="1">
      <c r="A48" s="797" t="s">
        <v>1191</v>
      </c>
      <c r="B48" s="785" t="s">
        <v>1208</v>
      </c>
      <c r="C48" s="632" t="s">
        <v>359</v>
      </c>
      <c r="D48" s="635"/>
      <c r="E48" s="635"/>
      <c r="F48" s="635"/>
      <c r="G48" s="635"/>
      <c r="H48" s="636"/>
      <c r="I48" s="636"/>
      <c r="J48" s="636"/>
      <c r="K48" s="636"/>
      <c r="L48" s="635"/>
      <c r="M48" s="635"/>
      <c r="N48" s="800"/>
      <c r="O48" s="429"/>
      <c r="P48" s="432"/>
    </row>
    <row r="49" spans="1:16" ht="18.75" customHeight="1" hidden="1">
      <c r="A49" s="797" t="s">
        <v>706</v>
      </c>
      <c r="B49" s="785" t="s">
        <v>1178</v>
      </c>
      <c r="C49" s="632" t="s">
        <v>359</v>
      </c>
      <c r="D49" s="635"/>
      <c r="E49" s="635"/>
      <c r="F49" s="635"/>
      <c r="G49" s="635"/>
      <c r="H49" s="633"/>
      <c r="I49" s="635"/>
      <c r="J49" s="635"/>
      <c r="K49" s="635"/>
      <c r="L49" s="635"/>
      <c r="M49" s="635"/>
      <c r="N49" s="800"/>
      <c r="P49" s="432"/>
    </row>
    <row r="50" spans="1:16" ht="25.5" customHeight="1">
      <c r="A50" s="797" t="s">
        <v>1192</v>
      </c>
      <c r="B50" s="785" t="s">
        <v>1179</v>
      </c>
      <c r="C50" s="632" t="s">
        <v>359</v>
      </c>
      <c r="D50" s="635"/>
      <c r="E50" s="635"/>
      <c r="F50" s="635"/>
      <c r="G50" s="635"/>
      <c r="H50" s="635"/>
      <c r="I50" s="635"/>
      <c r="J50" s="635"/>
      <c r="K50" s="635"/>
      <c r="L50" s="635"/>
      <c r="M50" s="635"/>
      <c r="N50" s="800"/>
      <c r="O50" s="429"/>
      <c r="P50" s="431"/>
    </row>
    <row r="51" spans="1:14" ht="15" customHeight="1" hidden="1">
      <c r="A51" s="795">
        <v>7</v>
      </c>
      <c r="B51" s="783" t="s">
        <v>707</v>
      </c>
      <c r="C51" s="632"/>
      <c r="D51" s="633"/>
      <c r="E51" s="633"/>
      <c r="F51" s="633"/>
      <c r="G51" s="633"/>
      <c r="H51" s="633"/>
      <c r="I51" s="633"/>
      <c r="J51" s="633"/>
      <c r="K51" s="633"/>
      <c r="L51" s="633"/>
      <c r="M51" s="633"/>
      <c r="N51" s="796"/>
    </row>
    <row r="52" spans="1:14" ht="15" customHeight="1" hidden="1">
      <c r="A52" s="797" t="s">
        <v>708</v>
      </c>
      <c r="B52" s="785" t="s">
        <v>709</v>
      </c>
      <c r="C52" s="632" t="s">
        <v>359</v>
      </c>
      <c r="D52" s="633"/>
      <c r="E52" s="633"/>
      <c r="F52" s="633"/>
      <c r="G52" s="633"/>
      <c r="H52" s="633"/>
      <c r="I52" s="633"/>
      <c r="J52" s="633"/>
      <c r="K52" s="633"/>
      <c r="L52" s="633"/>
      <c r="M52" s="633"/>
      <c r="N52" s="796"/>
    </row>
    <row r="53" spans="1:14" ht="15" customHeight="1" hidden="1">
      <c r="A53" s="797" t="s">
        <v>710</v>
      </c>
      <c r="B53" s="785" t="s">
        <v>401</v>
      </c>
      <c r="C53" s="632"/>
      <c r="D53" s="633"/>
      <c r="E53" s="633"/>
      <c r="F53" s="633"/>
      <c r="G53" s="633"/>
      <c r="H53" s="633"/>
      <c r="I53" s="633"/>
      <c r="J53" s="633"/>
      <c r="K53" s="633"/>
      <c r="L53" s="633"/>
      <c r="M53" s="633"/>
      <c r="N53" s="796"/>
    </row>
    <row r="54" spans="1:14" ht="15" customHeight="1" hidden="1">
      <c r="A54" s="797" t="s">
        <v>711</v>
      </c>
      <c r="B54" s="785" t="s">
        <v>704</v>
      </c>
      <c r="C54" s="632" t="s">
        <v>359</v>
      </c>
      <c r="D54" s="633"/>
      <c r="E54" s="633"/>
      <c r="F54" s="633"/>
      <c r="G54" s="633"/>
      <c r="H54" s="633"/>
      <c r="I54" s="633"/>
      <c r="J54" s="633"/>
      <c r="K54" s="633"/>
      <c r="L54" s="633"/>
      <c r="M54" s="633"/>
      <c r="N54" s="796"/>
    </row>
    <row r="55" spans="1:14" ht="15" customHeight="1" hidden="1">
      <c r="A55" s="797" t="s">
        <v>712</v>
      </c>
      <c r="B55" s="785" t="s">
        <v>713</v>
      </c>
      <c r="C55" s="632" t="s">
        <v>359</v>
      </c>
      <c r="D55" s="633"/>
      <c r="E55" s="633"/>
      <c r="F55" s="633"/>
      <c r="G55" s="633"/>
      <c r="H55" s="633"/>
      <c r="I55" s="633"/>
      <c r="J55" s="633"/>
      <c r="K55" s="633"/>
      <c r="L55" s="633"/>
      <c r="M55" s="633"/>
      <c r="N55" s="796"/>
    </row>
    <row r="56" spans="1:14" ht="30" customHeight="1" hidden="1">
      <c r="A56" s="797" t="s">
        <v>714</v>
      </c>
      <c r="B56" s="786" t="s">
        <v>715</v>
      </c>
      <c r="C56" s="632" t="s">
        <v>359</v>
      </c>
      <c r="D56" s="633"/>
      <c r="E56" s="633"/>
      <c r="F56" s="633"/>
      <c r="G56" s="633"/>
      <c r="H56" s="633"/>
      <c r="I56" s="633"/>
      <c r="J56" s="633"/>
      <c r="K56" s="633"/>
      <c r="L56" s="633"/>
      <c r="M56" s="633"/>
      <c r="N56" s="796"/>
    </row>
    <row r="57" spans="1:14" ht="15" customHeight="1" hidden="1">
      <c r="A57" s="797" t="s">
        <v>716</v>
      </c>
      <c r="B57" s="785" t="s">
        <v>717</v>
      </c>
      <c r="C57" s="632" t="s">
        <v>359</v>
      </c>
      <c r="D57" s="633"/>
      <c r="E57" s="633"/>
      <c r="F57" s="633"/>
      <c r="G57" s="633"/>
      <c r="H57" s="633"/>
      <c r="I57" s="633"/>
      <c r="J57" s="633"/>
      <c r="K57" s="633"/>
      <c r="L57" s="633"/>
      <c r="M57" s="633"/>
      <c r="N57" s="796"/>
    </row>
    <row r="58" spans="1:14" ht="15" customHeight="1" hidden="1">
      <c r="A58" s="797" t="s">
        <v>718</v>
      </c>
      <c r="B58" s="785" t="s">
        <v>719</v>
      </c>
      <c r="C58" s="632" t="s">
        <v>359</v>
      </c>
      <c r="D58" s="633"/>
      <c r="E58" s="633"/>
      <c r="F58" s="633"/>
      <c r="G58" s="633"/>
      <c r="H58" s="633"/>
      <c r="I58" s="633"/>
      <c r="J58" s="633"/>
      <c r="K58" s="633"/>
      <c r="L58" s="633"/>
      <c r="M58" s="633"/>
      <c r="N58" s="796"/>
    </row>
    <row r="59" spans="1:14" ht="15" customHeight="1" hidden="1">
      <c r="A59" s="797" t="s">
        <v>720</v>
      </c>
      <c r="B59" s="785" t="s">
        <v>721</v>
      </c>
      <c r="C59" s="632" t="s">
        <v>359</v>
      </c>
      <c r="D59" s="633"/>
      <c r="E59" s="633"/>
      <c r="F59" s="633"/>
      <c r="G59" s="633"/>
      <c r="H59" s="633"/>
      <c r="I59" s="633"/>
      <c r="J59" s="633"/>
      <c r="K59" s="633"/>
      <c r="L59" s="633"/>
      <c r="M59" s="633"/>
      <c r="N59" s="796"/>
    </row>
    <row r="60" spans="1:14" ht="15" customHeight="1" hidden="1">
      <c r="A60" s="797" t="s">
        <v>722</v>
      </c>
      <c r="B60" s="785" t="s">
        <v>723</v>
      </c>
      <c r="C60" s="632" t="s">
        <v>359</v>
      </c>
      <c r="D60" s="633"/>
      <c r="E60" s="633"/>
      <c r="F60" s="633"/>
      <c r="G60" s="633"/>
      <c r="H60" s="633"/>
      <c r="I60" s="633"/>
      <c r="J60" s="633"/>
      <c r="K60" s="633"/>
      <c r="L60" s="633"/>
      <c r="M60" s="633"/>
      <c r="N60" s="796"/>
    </row>
    <row r="61" spans="1:14" ht="15" customHeight="1" hidden="1">
      <c r="A61" s="795">
        <v>8</v>
      </c>
      <c r="B61" s="783" t="s">
        <v>724</v>
      </c>
      <c r="C61" s="632"/>
      <c r="D61" s="633"/>
      <c r="E61" s="633"/>
      <c r="F61" s="633"/>
      <c r="G61" s="633"/>
      <c r="H61" s="633"/>
      <c r="I61" s="633"/>
      <c r="J61" s="633"/>
      <c r="K61" s="633"/>
      <c r="L61" s="633"/>
      <c r="M61" s="633"/>
      <c r="N61" s="796"/>
    </row>
    <row r="62" spans="1:14" ht="15" customHeight="1" hidden="1">
      <c r="A62" s="797" t="s">
        <v>725</v>
      </c>
      <c r="B62" s="785" t="s">
        <v>709</v>
      </c>
      <c r="C62" s="632" t="s">
        <v>359</v>
      </c>
      <c r="D62" s="633"/>
      <c r="E62" s="633"/>
      <c r="F62" s="633"/>
      <c r="G62" s="633"/>
      <c r="H62" s="633"/>
      <c r="I62" s="633"/>
      <c r="J62" s="633"/>
      <c r="K62" s="633"/>
      <c r="L62" s="633"/>
      <c r="M62" s="633"/>
      <c r="N62" s="796"/>
    </row>
    <row r="63" spans="1:14" ht="15" customHeight="1" hidden="1">
      <c r="A63" s="797" t="s">
        <v>726</v>
      </c>
      <c r="B63" s="785" t="s">
        <v>398</v>
      </c>
      <c r="C63" s="632" t="s">
        <v>359</v>
      </c>
      <c r="D63" s="633"/>
      <c r="E63" s="633"/>
      <c r="F63" s="633"/>
      <c r="G63" s="633"/>
      <c r="H63" s="633"/>
      <c r="I63" s="633"/>
      <c r="J63" s="633"/>
      <c r="K63" s="633"/>
      <c r="L63" s="633"/>
      <c r="M63" s="633"/>
      <c r="N63" s="796"/>
    </row>
    <row r="64" spans="1:14" ht="15" customHeight="1" hidden="1">
      <c r="A64" s="797" t="s">
        <v>727</v>
      </c>
      <c r="B64" s="785" t="s">
        <v>399</v>
      </c>
      <c r="C64" s="632" t="s">
        <v>359</v>
      </c>
      <c r="D64" s="633"/>
      <c r="E64" s="633"/>
      <c r="F64" s="633"/>
      <c r="G64" s="633"/>
      <c r="H64" s="633"/>
      <c r="I64" s="633"/>
      <c r="J64" s="633"/>
      <c r="K64" s="633"/>
      <c r="L64" s="633"/>
      <c r="M64" s="633"/>
      <c r="N64" s="796"/>
    </row>
    <row r="65" spans="1:14" ht="15" customHeight="1" hidden="1">
      <c r="A65" s="797" t="s">
        <v>728</v>
      </c>
      <c r="B65" s="785" t="s">
        <v>729</v>
      </c>
      <c r="C65" s="632" t="s">
        <v>359</v>
      </c>
      <c r="D65" s="633"/>
      <c r="E65" s="633"/>
      <c r="F65" s="633"/>
      <c r="G65" s="633"/>
      <c r="H65" s="633"/>
      <c r="I65" s="633"/>
      <c r="J65" s="633"/>
      <c r="K65" s="633"/>
      <c r="L65" s="633"/>
      <c r="M65" s="633"/>
      <c r="N65" s="796"/>
    </row>
    <row r="66" spans="1:14" ht="15" customHeight="1" hidden="1">
      <c r="A66" s="797" t="s">
        <v>730</v>
      </c>
      <c r="B66" s="785" t="s">
        <v>731</v>
      </c>
      <c r="C66" s="632" t="s">
        <v>359</v>
      </c>
      <c r="D66" s="633"/>
      <c r="E66" s="633"/>
      <c r="F66" s="633"/>
      <c r="G66" s="633"/>
      <c r="H66" s="633"/>
      <c r="I66" s="633"/>
      <c r="J66" s="633"/>
      <c r="K66" s="633"/>
      <c r="L66" s="633"/>
      <c r="M66" s="633"/>
      <c r="N66" s="796"/>
    </row>
    <row r="67" spans="1:14" ht="15" customHeight="1" hidden="1">
      <c r="A67" s="797" t="s">
        <v>732</v>
      </c>
      <c r="B67" s="785" t="s">
        <v>733</v>
      </c>
      <c r="C67" s="632" t="s">
        <v>359</v>
      </c>
      <c r="D67" s="633"/>
      <c r="E67" s="633"/>
      <c r="F67" s="633"/>
      <c r="G67" s="633"/>
      <c r="H67" s="633"/>
      <c r="I67" s="633"/>
      <c r="J67" s="633"/>
      <c r="K67" s="633"/>
      <c r="L67" s="633"/>
      <c r="M67" s="633"/>
      <c r="N67" s="796"/>
    </row>
    <row r="68" spans="1:14" ht="15" customHeight="1" hidden="1">
      <c r="A68" s="797" t="s">
        <v>734</v>
      </c>
      <c r="B68" s="785" t="s">
        <v>735</v>
      </c>
      <c r="C68" s="632" t="s">
        <v>359</v>
      </c>
      <c r="D68" s="633"/>
      <c r="E68" s="633"/>
      <c r="F68" s="633"/>
      <c r="G68" s="633"/>
      <c r="H68" s="633"/>
      <c r="I68" s="633"/>
      <c r="J68" s="633"/>
      <c r="K68" s="633"/>
      <c r="L68" s="633"/>
      <c r="M68" s="633"/>
      <c r="N68" s="796"/>
    </row>
    <row r="69" spans="1:14" ht="15" customHeight="1" hidden="1">
      <c r="A69" s="797" t="s">
        <v>736</v>
      </c>
      <c r="B69" s="785" t="s">
        <v>401</v>
      </c>
      <c r="C69" s="632"/>
      <c r="D69" s="633"/>
      <c r="E69" s="633"/>
      <c r="F69" s="633"/>
      <c r="G69" s="633"/>
      <c r="H69" s="633"/>
      <c r="I69" s="633"/>
      <c r="J69" s="633"/>
      <c r="K69" s="633"/>
      <c r="L69" s="633"/>
      <c r="M69" s="633"/>
      <c r="N69" s="796"/>
    </row>
    <row r="70" spans="1:14" ht="15" customHeight="1" hidden="1">
      <c r="A70" s="797" t="s">
        <v>737</v>
      </c>
      <c r="B70" s="785" t="s">
        <v>704</v>
      </c>
      <c r="C70" s="632" t="s">
        <v>359</v>
      </c>
      <c r="D70" s="633"/>
      <c r="E70" s="633"/>
      <c r="F70" s="633"/>
      <c r="G70" s="633"/>
      <c r="H70" s="633"/>
      <c r="I70" s="633"/>
      <c r="J70" s="633"/>
      <c r="K70" s="633"/>
      <c r="L70" s="633"/>
      <c r="M70" s="633"/>
      <c r="N70" s="796"/>
    </row>
    <row r="71" spans="1:14" ht="15" customHeight="1" hidden="1">
      <c r="A71" s="797" t="s">
        <v>738</v>
      </c>
      <c r="B71" s="785" t="s">
        <v>713</v>
      </c>
      <c r="C71" s="632" t="s">
        <v>359</v>
      </c>
      <c r="D71" s="633"/>
      <c r="E71" s="633"/>
      <c r="F71" s="633"/>
      <c r="G71" s="633"/>
      <c r="H71" s="633"/>
      <c r="I71" s="633"/>
      <c r="J71" s="633"/>
      <c r="K71" s="633"/>
      <c r="L71" s="633"/>
      <c r="M71" s="633"/>
      <c r="N71" s="796"/>
    </row>
    <row r="72" spans="1:14" ht="30" customHeight="1" hidden="1">
      <c r="A72" s="797" t="s">
        <v>739</v>
      </c>
      <c r="B72" s="786" t="s">
        <v>715</v>
      </c>
      <c r="C72" s="632" t="s">
        <v>359</v>
      </c>
      <c r="D72" s="633"/>
      <c r="E72" s="633"/>
      <c r="F72" s="633"/>
      <c r="G72" s="633"/>
      <c r="H72" s="633"/>
      <c r="I72" s="633"/>
      <c r="J72" s="633"/>
      <c r="K72" s="633"/>
      <c r="L72" s="633"/>
      <c r="M72" s="633"/>
      <c r="N72" s="796"/>
    </row>
    <row r="73" spans="1:14" ht="15" customHeight="1" hidden="1">
      <c r="A73" s="797" t="s">
        <v>740</v>
      </c>
      <c r="B73" s="785" t="s">
        <v>717</v>
      </c>
      <c r="C73" s="632" t="s">
        <v>359</v>
      </c>
      <c r="D73" s="633"/>
      <c r="E73" s="633"/>
      <c r="F73" s="633"/>
      <c r="G73" s="633"/>
      <c r="H73" s="633"/>
      <c r="I73" s="633"/>
      <c r="J73" s="633"/>
      <c r="K73" s="633"/>
      <c r="L73" s="633"/>
      <c r="M73" s="633"/>
      <c r="N73" s="796"/>
    </row>
    <row r="74" spans="1:14" ht="15" customHeight="1" hidden="1">
      <c r="A74" s="797" t="s">
        <v>741</v>
      </c>
      <c r="B74" s="785" t="s">
        <v>719</v>
      </c>
      <c r="C74" s="632" t="s">
        <v>359</v>
      </c>
      <c r="D74" s="633"/>
      <c r="E74" s="633"/>
      <c r="F74" s="633"/>
      <c r="G74" s="633"/>
      <c r="H74" s="633"/>
      <c r="I74" s="633"/>
      <c r="J74" s="633"/>
      <c r="K74" s="633"/>
      <c r="L74" s="633"/>
      <c r="M74" s="633"/>
      <c r="N74" s="796"/>
    </row>
    <row r="75" spans="1:14" ht="15" customHeight="1" hidden="1">
      <c r="A75" s="797" t="s">
        <v>742</v>
      </c>
      <c r="B75" s="785" t="s">
        <v>721</v>
      </c>
      <c r="C75" s="632" t="s">
        <v>359</v>
      </c>
      <c r="D75" s="633"/>
      <c r="E75" s="633"/>
      <c r="F75" s="633"/>
      <c r="G75" s="633"/>
      <c r="H75" s="633"/>
      <c r="I75" s="633"/>
      <c r="J75" s="633"/>
      <c r="K75" s="633"/>
      <c r="L75" s="633"/>
      <c r="M75" s="633"/>
      <c r="N75" s="796"/>
    </row>
    <row r="76" spans="1:14" ht="15" customHeight="1" hidden="1">
      <c r="A76" s="797" t="s">
        <v>743</v>
      </c>
      <c r="B76" s="785" t="s">
        <v>723</v>
      </c>
      <c r="C76" s="632" t="s">
        <v>359</v>
      </c>
      <c r="D76" s="633"/>
      <c r="E76" s="633"/>
      <c r="F76" s="633"/>
      <c r="G76" s="633"/>
      <c r="H76" s="633"/>
      <c r="I76" s="633"/>
      <c r="J76" s="633"/>
      <c r="K76" s="633"/>
      <c r="L76" s="633"/>
      <c r="M76" s="633"/>
      <c r="N76" s="796"/>
    </row>
    <row r="77" spans="1:14" ht="29.25" customHeight="1" hidden="1">
      <c r="A77" s="795">
        <v>4</v>
      </c>
      <c r="B77" s="792" t="s">
        <v>744</v>
      </c>
      <c r="C77" s="632" t="s">
        <v>359</v>
      </c>
      <c r="D77" s="633"/>
      <c r="E77" s="633"/>
      <c r="F77" s="633"/>
      <c r="G77" s="633"/>
      <c r="H77" s="633"/>
      <c r="I77" s="633"/>
      <c r="J77" s="633"/>
      <c r="K77" s="633"/>
      <c r="L77" s="633"/>
      <c r="M77" s="633"/>
      <c r="N77" s="796"/>
    </row>
    <row r="78" spans="1:14" ht="36.75" customHeight="1" hidden="1">
      <c r="A78" s="797" t="s">
        <v>745</v>
      </c>
      <c r="B78" s="786" t="s">
        <v>746</v>
      </c>
      <c r="C78" s="632" t="s">
        <v>359</v>
      </c>
      <c r="D78" s="633"/>
      <c r="E78" s="633"/>
      <c r="F78" s="633"/>
      <c r="G78" s="633"/>
      <c r="H78" s="633"/>
      <c r="I78" s="633"/>
      <c r="J78" s="633"/>
      <c r="K78" s="633"/>
      <c r="L78" s="633"/>
      <c r="M78" s="633"/>
      <c r="N78" s="796"/>
    </row>
    <row r="79" spans="1:14" ht="35.25" customHeight="1" hidden="1">
      <c r="A79" s="797" t="s">
        <v>747</v>
      </c>
      <c r="B79" s="786" t="s">
        <v>748</v>
      </c>
      <c r="C79" s="632" t="s">
        <v>359</v>
      </c>
      <c r="D79" s="633"/>
      <c r="E79" s="633"/>
      <c r="F79" s="633"/>
      <c r="G79" s="633"/>
      <c r="H79" s="633"/>
      <c r="I79" s="633"/>
      <c r="J79" s="633"/>
      <c r="K79" s="633"/>
      <c r="L79" s="633"/>
      <c r="M79" s="633"/>
      <c r="N79" s="796"/>
    </row>
    <row r="80" spans="1:14" ht="54.75" customHeight="1" hidden="1">
      <c r="A80" s="795">
        <v>5</v>
      </c>
      <c r="B80" s="792" t="s">
        <v>749</v>
      </c>
      <c r="C80" s="632" t="s">
        <v>359</v>
      </c>
      <c r="D80" s="633"/>
      <c r="E80" s="633"/>
      <c r="F80" s="633"/>
      <c r="G80" s="633"/>
      <c r="H80" s="633"/>
      <c r="I80" s="633"/>
      <c r="J80" s="633"/>
      <c r="K80" s="633"/>
      <c r="L80" s="633"/>
      <c r="M80" s="633"/>
      <c r="N80" s="796"/>
    </row>
    <row r="81" spans="1:14" ht="30.75" customHeight="1" thickBot="1">
      <c r="A81" s="803">
        <v>4</v>
      </c>
      <c r="B81" s="804" t="s">
        <v>750</v>
      </c>
      <c r="C81" s="805" t="s">
        <v>289</v>
      </c>
      <c r="D81" s="806"/>
      <c r="E81" s="807"/>
      <c r="F81" s="806"/>
      <c r="G81" s="807"/>
      <c r="H81" s="806"/>
      <c r="I81" s="807"/>
      <c r="J81" s="807"/>
      <c r="K81" s="807"/>
      <c r="L81" s="808"/>
      <c r="M81" s="808"/>
      <c r="N81" s="809"/>
    </row>
    <row r="84" spans="1:14" ht="38.25" customHeight="1">
      <c r="A84" s="1767" t="s">
        <v>941</v>
      </c>
      <c r="B84" s="1767"/>
      <c r="C84" s="1767"/>
      <c r="D84" s="1767"/>
      <c r="E84" s="1767"/>
      <c r="F84" s="1767"/>
      <c r="G84" s="1767"/>
      <c r="H84" s="1767"/>
      <c r="I84" s="1767"/>
      <c r="J84" s="1767"/>
      <c r="K84" s="1767"/>
      <c r="L84" s="1767"/>
      <c r="M84" s="1767"/>
      <c r="N84" s="1767"/>
    </row>
    <row r="85" spans="7:14" ht="13.5" customHeight="1">
      <c r="G85" s="433">
        <f>E81+G81</f>
        <v>0</v>
      </c>
      <c r="H85" s="434"/>
      <c r="I85" s="433"/>
      <c r="J85" s="433"/>
      <c r="K85" s="433"/>
      <c r="L85" s="435">
        <f>G40*(1+G85)+(1+G85)</f>
        <v>1</v>
      </c>
      <c r="M85" s="435"/>
      <c r="N85" s="435"/>
    </row>
    <row r="65531" ht="1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3:N3"/>
    <mergeCell ref="A84:N84"/>
    <mergeCell ref="D5:E5"/>
    <mergeCell ref="F5:G5"/>
    <mergeCell ref="H5:I5"/>
    <mergeCell ref="J5:K5"/>
  </mergeCells>
  <printOptions/>
  <pageMargins left="0.17" right="0.17" top="0.7874015748031497" bottom="0.3937007874015748" header="0.1968503937007874" footer="0.5118110236220472"/>
  <pageSetup fitToHeight="1" fitToWidth="1" horizontalDpi="300" verticalDpi="300" orientation="landscape" paperSize="9" scale="64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8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X38"/>
  <sheetViews>
    <sheetView zoomScalePageLayoutView="0" workbookViewId="0" topLeftCell="A13">
      <selection activeCell="B1" sqref="B1:N1"/>
    </sheetView>
  </sheetViews>
  <sheetFormatPr defaultColWidth="9.140625" defaultRowHeight="12.75"/>
  <cols>
    <col min="1" max="1" width="4.140625" style="75" customWidth="1"/>
    <col min="2" max="2" width="30.00390625" style="75" customWidth="1"/>
    <col min="3" max="3" width="12.57421875" style="75" customWidth="1"/>
    <col min="4" max="4" width="12.8515625" style="75" bestFit="1" customWidth="1"/>
    <col min="5" max="5" width="16.28125" style="75" customWidth="1"/>
    <col min="6" max="6" width="17.421875" style="75" customWidth="1"/>
    <col min="7" max="7" width="19.8515625" style="75" customWidth="1"/>
    <col min="8" max="8" width="15.421875" style="75" customWidth="1"/>
    <col min="9" max="9" width="13.00390625" style="75" customWidth="1"/>
    <col min="10" max="10" width="12.140625" style="75" customWidth="1"/>
    <col min="11" max="11" width="14.28125" style="75" customWidth="1"/>
    <col min="12" max="12" width="12.57421875" style="75" customWidth="1"/>
    <col min="13" max="13" width="12.57421875" style="75" bestFit="1" customWidth="1"/>
    <col min="14" max="14" width="16.00390625" style="75" customWidth="1"/>
    <col min="15" max="16384" width="9.140625" style="75" customWidth="1"/>
  </cols>
  <sheetData>
    <row r="1" spans="2:14" s="1140" customFormat="1" ht="65.25" customHeight="1">
      <c r="B1" s="1833" t="s">
        <v>153</v>
      </c>
      <c r="C1" s="1833"/>
      <c r="D1" s="1833"/>
      <c r="E1" s="1833"/>
      <c r="F1" s="1833"/>
      <c r="G1" s="1833"/>
      <c r="H1" s="1833"/>
      <c r="I1" s="1833"/>
      <c r="J1" s="1833"/>
      <c r="K1" s="1833"/>
      <c r="L1" s="1833"/>
      <c r="M1" s="1833"/>
      <c r="N1" s="1833"/>
    </row>
    <row r="2" spans="2:14" ht="48" thickBot="1">
      <c r="B2" s="76"/>
      <c r="C2" s="76"/>
      <c r="D2" s="76"/>
      <c r="E2" s="76"/>
      <c r="F2" s="76"/>
      <c r="G2" s="76"/>
      <c r="H2" s="76"/>
      <c r="I2" s="76"/>
      <c r="J2" s="76"/>
      <c r="N2" s="396" t="s">
        <v>149</v>
      </c>
    </row>
    <row r="3" spans="1:14" ht="54.75" thickBot="1">
      <c r="A3" s="1014" t="s">
        <v>142</v>
      </c>
      <c r="B3" s="1015" t="s">
        <v>190</v>
      </c>
      <c r="C3" s="1016" t="s">
        <v>193</v>
      </c>
      <c r="D3" s="1016" t="s">
        <v>1048</v>
      </c>
      <c r="E3" s="1016" t="s">
        <v>1049</v>
      </c>
      <c r="F3" s="1015" t="s">
        <v>1002</v>
      </c>
      <c r="G3" s="1015" t="s">
        <v>641</v>
      </c>
      <c r="H3" s="1015" t="s">
        <v>1050</v>
      </c>
      <c r="I3" s="1015" t="s">
        <v>898</v>
      </c>
      <c r="J3" s="1017" t="s">
        <v>899</v>
      </c>
      <c r="K3" s="1015" t="s">
        <v>1352</v>
      </c>
      <c r="L3" s="1017" t="s">
        <v>901</v>
      </c>
      <c r="M3" s="1018" t="s">
        <v>1051</v>
      </c>
      <c r="N3" s="1013">
        <v>1.045</v>
      </c>
    </row>
    <row r="4" spans="1:14" ht="26.25" customHeight="1">
      <c r="A4" s="1679" t="s">
        <v>1052</v>
      </c>
      <c r="B4" s="1680"/>
      <c r="C4" s="1680"/>
      <c r="D4" s="1680"/>
      <c r="E4" s="1680"/>
      <c r="F4" s="1680"/>
      <c r="G4" s="1680"/>
      <c r="H4" s="1680"/>
      <c r="I4" s="1680"/>
      <c r="J4" s="1680"/>
      <c r="K4" s="1682">
        <v>0.5</v>
      </c>
      <c r="L4" s="1680"/>
      <c r="M4" s="1681"/>
      <c r="N4" s="1012"/>
    </row>
    <row r="5" spans="1:14" ht="24.75" customHeight="1">
      <c r="A5" s="81">
        <v>1</v>
      </c>
      <c r="B5" s="411" t="s">
        <v>162</v>
      </c>
      <c r="C5" s="83">
        <v>1</v>
      </c>
      <c r="D5" s="83">
        <v>18</v>
      </c>
      <c r="E5" s="83">
        <v>8.14</v>
      </c>
      <c r="F5" s="84">
        <f>4936*E5*N$3</f>
        <v>41987.0968</v>
      </c>
      <c r="G5" s="84">
        <f>C5*F5*11</f>
        <v>461858.0648</v>
      </c>
      <c r="H5" s="84"/>
      <c r="I5" s="84">
        <f>(G5+J5+K5+L5)/11/29.4*28</f>
        <v>63980.337980952376</v>
      </c>
      <c r="J5" s="84">
        <f>G5*0.1</f>
        <v>46185.80648</v>
      </c>
      <c r="K5" s="84">
        <f>G5*K4</f>
        <v>230929.0324</v>
      </c>
      <c r="L5" s="84">
        <v>0</v>
      </c>
      <c r="M5" s="84">
        <f>L5+K5+J5+H5+G5+I5</f>
        <v>802953.2416609523</v>
      </c>
      <c r="N5" s="440">
        <f>M5/12/C5</f>
        <v>66912.7701384127</v>
      </c>
    </row>
    <row r="6" spans="1:14" ht="29.25" customHeight="1">
      <c r="A6" s="81">
        <v>2</v>
      </c>
      <c r="B6" s="438" t="s">
        <v>662</v>
      </c>
      <c r="C6" s="83">
        <v>1</v>
      </c>
      <c r="D6" s="83">
        <v>18</v>
      </c>
      <c r="E6" s="83">
        <v>8.14</v>
      </c>
      <c r="F6" s="84">
        <f>4936*E6*N$3</f>
        <v>41987.0968</v>
      </c>
      <c r="G6" s="84">
        <f>C6*F6*11</f>
        <v>461858.0648</v>
      </c>
      <c r="H6" s="84"/>
      <c r="I6" s="84">
        <f>(G6+J6+K6+L6)/11/29.4*28</f>
        <v>63980.337980952376</v>
      </c>
      <c r="J6" s="84">
        <f>G6*0.1</f>
        <v>46185.80648</v>
      </c>
      <c r="K6" s="84">
        <f>G6*K4</f>
        <v>230929.0324</v>
      </c>
      <c r="L6" s="84">
        <v>0</v>
      </c>
      <c r="M6" s="84">
        <f>L6+K6+J6+H6+G6+I6</f>
        <v>802953.2416609523</v>
      </c>
      <c r="N6" s="440">
        <f>M6/12/C6</f>
        <v>66912.7701384127</v>
      </c>
    </row>
    <row r="7" spans="1:14" ht="29.25" customHeight="1">
      <c r="A7" s="81">
        <v>3</v>
      </c>
      <c r="B7" s="438" t="s">
        <v>663</v>
      </c>
      <c r="C7" s="83">
        <v>0</v>
      </c>
      <c r="D7" s="83">
        <v>15</v>
      </c>
      <c r="E7" s="83">
        <v>4.96</v>
      </c>
      <c r="F7" s="84">
        <f>4936*E7*N$3</f>
        <v>25584.2752</v>
      </c>
      <c r="G7" s="84">
        <f>C7*F7*11</f>
        <v>0</v>
      </c>
      <c r="H7" s="84"/>
      <c r="I7" s="84">
        <f>(G7+J7+K7+L7)/11/29.4*28</f>
        <v>0</v>
      </c>
      <c r="J7" s="84">
        <f>G7*0.1</f>
        <v>0</v>
      </c>
      <c r="K7" s="84">
        <f>G7*K4</f>
        <v>0</v>
      </c>
      <c r="L7" s="84">
        <f>(G7+H7+K7)*0.108</f>
        <v>0</v>
      </c>
      <c r="M7" s="84">
        <f>L7+K7+J7+H7+G7+I7</f>
        <v>0</v>
      </c>
      <c r="N7" s="440">
        <v>0</v>
      </c>
    </row>
    <row r="8" spans="1:14" ht="20.25" customHeight="1">
      <c r="A8" s="1422" t="s">
        <v>1053</v>
      </c>
      <c r="B8" s="1423"/>
      <c r="C8" s="1423"/>
      <c r="D8" s="1423"/>
      <c r="E8" s="1423"/>
      <c r="F8" s="1423"/>
      <c r="G8" s="1423"/>
      <c r="H8" s="1423"/>
      <c r="I8" s="1423"/>
      <c r="J8" s="1423"/>
      <c r="K8" s="1423"/>
      <c r="L8" s="1423"/>
      <c r="M8" s="1424"/>
      <c r="N8" s="439"/>
    </row>
    <row r="9" spans="1:14" ht="12.75" hidden="1">
      <c r="A9" s="81">
        <v>1</v>
      </c>
      <c r="B9" s="82" t="s">
        <v>1054</v>
      </c>
      <c r="C9" s="86"/>
      <c r="D9" s="83">
        <v>14</v>
      </c>
      <c r="E9" s="83">
        <v>4.96</v>
      </c>
      <c r="F9" s="84"/>
      <c r="G9" s="84">
        <f aca="true" t="shared" si="0" ref="G9:G14">C9*F9*11</f>
        <v>0</v>
      </c>
      <c r="H9" s="84"/>
      <c r="I9" s="84">
        <f aca="true" t="shared" si="1" ref="I9:I14">(G9+J9+K9+L9+H9)/11/29.4*28</f>
        <v>0</v>
      </c>
      <c r="J9" s="84">
        <f aca="true" t="shared" si="2" ref="J9:J14">G9*0.1</f>
        <v>0</v>
      </c>
      <c r="K9" s="84">
        <f>G9*0.75</f>
        <v>0</v>
      </c>
      <c r="L9" s="84">
        <f>(G9+H9+J9+K9)*0.083</f>
        <v>0</v>
      </c>
      <c r="M9" s="85">
        <f aca="true" t="shared" si="3" ref="M9:M14">L9+K9+J9+H9+G9+I9</f>
        <v>0</v>
      </c>
      <c r="N9" s="439"/>
    </row>
    <row r="10" spans="1:14" ht="12.75">
      <c r="A10" s="81">
        <v>2</v>
      </c>
      <c r="B10" s="87" t="s">
        <v>1055</v>
      </c>
      <c r="C10" s="83">
        <v>3</v>
      </c>
      <c r="D10" s="83">
        <v>8</v>
      </c>
      <c r="E10" s="83">
        <v>2.71</v>
      </c>
      <c r="F10" s="84">
        <f>4936*E10*N3</f>
        <v>13978.505199999998</v>
      </c>
      <c r="G10" s="84">
        <f>C10*F10*11</f>
        <v>461290.6715999999</v>
      </c>
      <c r="H10" s="84">
        <f>(G10/C10*0.25*1.75*2)</f>
        <v>134543.11254999996</v>
      </c>
      <c r="I10" s="84">
        <f t="shared" si="1"/>
        <v>75550.49239047617</v>
      </c>
      <c r="J10" s="84">
        <f t="shared" si="2"/>
        <v>46129.06715999999</v>
      </c>
      <c r="K10" s="84">
        <f>G10*K4</f>
        <v>230645.33579999994</v>
      </c>
      <c r="L10" s="84">
        <v>0</v>
      </c>
      <c r="M10" s="85">
        <f t="shared" si="3"/>
        <v>948158.679500476</v>
      </c>
      <c r="N10" s="440">
        <f aca="true" t="shared" si="4" ref="N10:N16">M10/12/C10</f>
        <v>26337.741097235445</v>
      </c>
    </row>
    <row r="11" spans="1:14" ht="12.75">
      <c r="A11" s="81">
        <v>3</v>
      </c>
      <c r="B11" s="87" t="s">
        <v>1055</v>
      </c>
      <c r="C11" s="83">
        <v>1</v>
      </c>
      <c r="D11" s="83">
        <v>11</v>
      </c>
      <c r="E11" s="83">
        <v>3.37</v>
      </c>
      <c r="F11" s="84">
        <f>4936*E11*N3</f>
        <v>17382.8644</v>
      </c>
      <c r="G11" s="84">
        <f t="shared" si="0"/>
        <v>191211.5084</v>
      </c>
      <c r="H11" s="84"/>
      <c r="I11" s="84">
        <f t="shared" si="1"/>
        <v>26488.174323809522</v>
      </c>
      <c r="J11" s="84">
        <f t="shared" si="2"/>
        <v>19121.15084</v>
      </c>
      <c r="K11" s="84">
        <f>G11*K4</f>
        <v>95605.7542</v>
      </c>
      <c r="L11" s="84">
        <v>0</v>
      </c>
      <c r="M11" s="85">
        <f t="shared" si="3"/>
        <v>332426.5877638095</v>
      </c>
      <c r="N11" s="440">
        <f t="shared" si="4"/>
        <v>27702.215646984125</v>
      </c>
    </row>
    <row r="12" spans="1:14" ht="12.75" hidden="1">
      <c r="A12" s="81"/>
      <c r="B12" s="87"/>
      <c r="C12" s="83"/>
      <c r="D12" s="83"/>
      <c r="E12" s="83"/>
      <c r="F12" s="84"/>
      <c r="G12" s="84"/>
      <c r="H12" s="84"/>
      <c r="I12" s="84"/>
      <c r="J12" s="84">
        <f t="shared" si="2"/>
        <v>0</v>
      </c>
      <c r="K12" s="84">
        <f>G12*0.75</f>
        <v>0</v>
      </c>
      <c r="L12" s="84">
        <f>(G12+H12+K12)*0.083</f>
        <v>0</v>
      </c>
      <c r="M12" s="85"/>
      <c r="N12" s="440" t="e">
        <f t="shared" si="4"/>
        <v>#DIV/0!</v>
      </c>
    </row>
    <row r="13" spans="1:14" ht="12.75">
      <c r="A13" s="81">
        <v>4</v>
      </c>
      <c r="B13" s="87" t="s">
        <v>1056</v>
      </c>
      <c r="C13" s="83">
        <v>1</v>
      </c>
      <c r="D13" s="83">
        <v>8</v>
      </c>
      <c r="E13" s="83">
        <v>2.71</v>
      </c>
      <c r="F13" s="84">
        <f>4936*E13*N3</f>
        <v>13978.505199999998</v>
      </c>
      <c r="G13" s="84">
        <f t="shared" si="0"/>
        <v>153763.55719999998</v>
      </c>
      <c r="H13" s="84">
        <f>(G13/C13*0.25*1.75*1)</f>
        <v>67271.556275</v>
      </c>
      <c r="I13" s="84">
        <f t="shared" si="1"/>
        <v>27124.956519047617</v>
      </c>
      <c r="J13" s="84">
        <f t="shared" si="2"/>
        <v>15376.35572</v>
      </c>
      <c r="K13" s="84">
        <f>G13*K4</f>
        <v>76881.77859999999</v>
      </c>
      <c r="L13" s="84">
        <v>0</v>
      </c>
      <c r="M13" s="85">
        <f t="shared" si="3"/>
        <v>340418.2043140476</v>
      </c>
      <c r="N13" s="440">
        <f t="shared" si="4"/>
        <v>28368.183692837298</v>
      </c>
    </row>
    <row r="14" spans="1:14" ht="12.75">
      <c r="A14" s="81">
        <v>5</v>
      </c>
      <c r="B14" s="87" t="s">
        <v>1056</v>
      </c>
      <c r="C14" s="83">
        <v>1</v>
      </c>
      <c r="D14" s="83">
        <v>8</v>
      </c>
      <c r="E14" s="83">
        <v>2.56</v>
      </c>
      <c r="F14" s="84">
        <f>4936*E14*N3</f>
        <v>13204.787199999999</v>
      </c>
      <c r="G14" s="84">
        <f t="shared" si="0"/>
        <v>145252.6592</v>
      </c>
      <c r="H14" s="84"/>
      <c r="I14" s="84">
        <f t="shared" si="1"/>
        <v>20121.580495238097</v>
      </c>
      <c r="J14" s="84">
        <f t="shared" si="2"/>
        <v>14525.26592</v>
      </c>
      <c r="K14" s="84">
        <f>G14*K4</f>
        <v>72626.3296</v>
      </c>
      <c r="L14" s="84">
        <v>0</v>
      </c>
      <c r="M14" s="85">
        <f t="shared" si="3"/>
        <v>252525.8352152381</v>
      </c>
      <c r="N14" s="440">
        <f t="shared" si="4"/>
        <v>21043.819601269843</v>
      </c>
    </row>
    <row r="15" spans="1:14" ht="12.75">
      <c r="A15" s="81"/>
      <c r="B15" s="911"/>
      <c r="C15" s="83"/>
      <c r="D15" s="83"/>
      <c r="E15" s="83"/>
      <c r="F15" s="85"/>
      <c r="G15" s="85"/>
      <c r="H15" s="84"/>
      <c r="I15" s="84"/>
      <c r="J15" s="84"/>
      <c r="K15" s="84"/>
      <c r="L15" s="84"/>
      <c r="M15" s="85"/>
      <c r="N15" s="439"/>
    </row>
    <row r="16" spans="1:14" ht="23.25" customHeight="1" thickBot="1">
      <c r="A16" s="912"/>
      <c r="B16" s="88" t="s">
        <v>1014</v>
      </c>
      <c r="C16" s="913">
        <f>C5+C6+C10+C11+C12+C13+C14+C7</f>
        <v>8</v>
      </c>
      <c r="D16" s="914"/>
      <c r="E16" s="914"/>
      <c r="F16" s="913">
        <f>F5+F6+F10+F11+F12+F13+F14+F7</f>
        <v>168103.1308</v>
      </c>
      <c r="G16" s="913">
        <f aca="true" t="shared" si="5" ref="G16:M16">G5+G6+G10+G11+G12+G13+G14+G7</f>
        <v>1875234.5259999996</v>
      </c>
      <c r="H16" s="913">
        <f t="shared" si="5"/>
        <v>201814.66882499994</v>
      </c>
      <c r="I16" s="913">
        <f t="shared" si="5"/>
        <v>277245.8796904761</v>
      </c>
      <c r="J16" s="913">
        <f t="shared" si="5"/>
        <v>187523.45259999996</v>
      </c>
      <c r="K16" s="913">
        <f t="shared" si="5"/>
        <v>937617.2629999998</v>
      </c>
      <c r="L16" s="913">
        <f t="shared" si="5"/>
        <v>0</v>
      </c>
      <c r="M16" s="913">
        <f t="shared" si="5"/>
        <v>3479435.7901154757</v>
      </c>
      <c r="N16" s="915">
        <f t="shared" si="4"/>
        <v>36244.122813702874</v>
      </c>
    </row>
    <row r="17" spans="1:13" ht="38.25" customHeight="1" thickBot="1">
      <c r="A17" s="89" t="s">
        <v>1057</v>
      </c>
      <c r="B17" s="1019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</row>
    <row r="18" spans="1:24" ht="54">
      <c r="A18" s="77" t="s">
        <v>142</v>
      </c>
      <c r="B18" s="78" t="s">
        <v>190</v>
      </c>
      <c r="C18" s="79" t="s">
        <v>1001</v>
      </c>
      <c r="D18" s="79" t="s">
        <v>1048</v>
      </c>
      <c r="E18" s="79" t="s">
        <v>1049</v>
      </c>
      <c r="F18" s="78" t="s">
        <v>1002</v>
      </c>
      <c r="G18" s="78" t="s">
        <v>641</v>
      </c>
      <c r="H18" s="78" t="s">
        <v>1058</v>
      </c>
      <c r="I18" s="78" t="s">
        <v>898</v>
      </c>
      <c r="J18" s="80" t="s">
        <v>899</v>
      </c>
      <c r="K18" s="78" t="s">
        <v>1352</v>
      </c>
      <c r="L18" s="80" t="s">
        <v>901</v>
      </c>
      <c r="M18" s="79" t="s">
        <v>1051</v>
      </c>
      <c r="N18" s="1024" t="s">
        <v>149</v>
      </c>
      <c r="X18" s="1025"/>
    </row>
    <row r="19" spans="1:14" ht="14.25">
      <c r="A19" s="91"/>
      <c r="B19" s="92" t="s">
        <v>1059</v>
      </c>
      <c r="C19" s="93"/>
      <c r="D19" s="93"/>
      <c r="E19" s="93"/>
      <c r="F19" s="94"/>
      <c r="G19" s="94"/>
      <c r="H19" s="94"/>
      <c r="I19" s="94"/>
      <c r="J19" s="95"/>
      <c r="K19" s="94"/>
      <c r="L19" s="95"/>
      <c r="M19" s="93"/>
      <c r="N19" s="1020"/>
    </row>
    <row r="20" spans="1:14" ht="29.25" customHeight="1">
      <c r="A20" s="81">
        <v>1</v>
      </c>
      <c r="B20" s="82" t="s">
        <v>1012</v>
      </c>
      <c r="C20" s="96">
        <v>2</v>
      </c>
      <c r="D20" s="96">
        <v>8</v>
      </c>
      <c r="E20" s="96">
        <v>2.71</v>
      </c>
      <c r="F20" s="84">
        <f>4936*E20*N3</f>
        <v>13978.505199999998</v>
      </c>
      <c r="G20" s="84">
        <f>C20*F20*11</f>
        <v>307527.11439999996</v>
      </c>
      <c r="H20" s="84">
        <f>(G20/C20*0.1*1.75*1)+(G20/C20*0.2*1.75*1)</f>
        <v>80725.86753</v>
      </c>
      <c r="I20" s="84">
        <f>(G20+J20+K20+L20+H20)/11/29.4*28</f>
        <v>49590.411304761896</v>
      </c>
      <c r="J20" s="84">
        <f>G20*0.1</f>
        <v>30752.71144</v>
      </c>
      <c r="K20" s="84">
        <f>G20*K4</f>
        <v>153763.55719999998</v>
      </c>
      <c r="L20" s="84">
        <v>0</v>
      </c>
      <c r="M20" s="85">
        <f>L20+K20+J20+H20+G20+I20</f>
        <v>622359.6618747618</v>
      </c>
      <c r="N20" s="1021">
        <f>M20/12/C20</f>
        <v>25931.652578115074</v>
      </c>
    </row>
    <row r="21" spans="1:14" ht="12.75" hidden="1">
      <c r="A21" s="81"/>
      <c r="B21" s="82"/>
      <c r="C21" s="96"/>
      <c r="D21" s="96"/>
      <c r="E21" s="96"/>
      <c r="F21" s="85"/>
      <c r="G21" s="84"/>
      <c r="H21" s="96"/>
      <c r="I21" s="84"/>
      <c r="J21" s="84"/>
      <c r="K21" s="84"/>
      <c r="L21" s="84"/>
      <c r="M21" s="85"/>
      <c r="N21" s="1021"/>
    </row>
    <row r="22" spans="1:14" ht="29.25" customHeight="1">
      <c r="A22" s="97"/>
      <c r="B22" s="98" t="s">
        <v>1060</v>
      </c>
      <c r="C22" s="96"/>
      <c r="D22" s="96"/>
      <c r="E22" s="96"/>
      <c r="F22" s="85"/>
      <c r="G22" s="99"/>
      <c r="H22" s="96"/>
      <c r="I22" s="99"/>
      <c r="J22" s="99"/>
      <c r="K22" s="84"/>
      <c r="L22" s="99"/>
      <c r="M22" s="99"/>
      <c r="N22" s="1022"/>
    </row>
    <row r="23" spans="1:14" ht="28.5" customHeight="1">
      <c r="A23" s="100">
        <v>2</v>
      </c>
      <c r="B23" s="82" t="s">
        <v>1061</v>
      </c>
      <c r="C23" s="96">
        <v>2</v>
      </c>
      <c r="D23" s="96">
        <v>8</v>
      </c>
      <c r="E23" s="96">
        <v>2.71</v>
      </c>
      <c r="F23" s="84">
        <f>4936*E23*N3</f>
        <v>13978.505199999998</v>
      </c>
      <c r="G23" s="84">
        <f>C23*F23*11</f>
        <v>307527.11439999996</v>
      </c>
      <c r="H23" s="84">
        <f>(G23/C23*0.1*1.75*1)</f>
        <v>26908.62251</v>
      </c>
      <c r="I23" s="84">
        <f>(G23+J23+K23+L23+H23)/11/29.4*28</f>
        <v>44930.909571428565</v>
      </c>
      <c r="J23" s="84">
        <f>G23*0.1</f>
        <v>30752.71144</v>
      </c>
      <c r="K23" s="84">
        <f>G23*K4</f>
        <v>153763.55719999998</v>
      </c>
      <c r="L23" s="84">
        <v>0</v>
      </c>
      <c r="M23" s="85">
        <f>L23+K23+J23+H23+G23+I23</f>
        <v>563882.9151214286</v>
      </c>
      <c r="N23" s="1021">
        <f>M23/12/C23</f>
        <v>23495.121463392858</v>
      </c>
    </row>
    <row r="24" spans="1:15" ht="40.5" customHeight="1" thickBot="1">
      <c r="A24" s="101"/>
      <c r="B24" s="88" t="s">
        <v>1014</v>
      </c>
      <c r="C24" s="102">
        <f>SUM(C19:C23)</f>
        <v>4</v>
      </c>
      <c r="D24" s="103"/>
      <c r="E24" s="103"/>
      <c r="F24" s="102">
        <f aca="true" t="shared" si="6" ref="F24:M24">SUM(F19:F23)</f>
        <v>27957.010399999996</v>
      </c>
      <c r="G24" s="102">
        <f t="shared" si="6"/>
        <v>615054.2287999999</v>
      </c>
      <c r="H24" s="102">
        <f t="shared" si="6"/>
        <v>107634.49004</v>
      </c>
      <c r="I24" s="102">
        <f t="shared" si="6"/>
        <v>94521.32087619047</v>
      </c>
      <c r="J24" s="102">
        <f t="shared" si="6"/>
        <v>61505.42288</v>
      </c>
      <c r="K24" s="102">
        <f t="shared" si="6"/>
        <v>307527.11439999996</v>
      </c>
      <c r="L24" s="102">
        <f t="shared" si="6"/>
        <v>0</v>
      </c>
      <c r="M24" s="102">
        <f t="shared" si="6"/>
        <v>1186242.5769961905</v>
      </c>
      <c r="N24" s="1023"/>
      <c r="O24" s="105">
        <f>M16+M24</f>
        <v>4665678.367111666</v>
      </c>
    </row>
    <row r="25" spans="1:13" ht="12.75">
      <c r="A25" s="90"/>
      <c r="B25" s="90"/>
      <c r="C25" s="104">
        <f>C24+C16</f>
        <v>12</v>
      </c>
      <c r="D25" s="104"/>
      <c r="E25" s="104"/>
      <c r="F25" s="104">
        <f>F24+F16</f>
        <v>196060.1412</v>
      </c>
      <c r="G25" s="104">
        <f aca="true" t="shared" si="7" ref="G25:L25">G24+G16</f>
        <v>2490288.7547999993</v>
      </c>
      <c r="H25" s="104">
        <f t="shared" si="7"/>
        <v>309449.15886499995</v>
      </c>
      <c r="I25" s="104">
        <f t="shared" si="7"/>
        <v>371767.20056666655</v>
      </c>
      <c r="J25" s="104">
        <f t="shared" si="7"/>
        <v>249028.87547999996</v>
      </c>
      <c r="K25" s="104">
        <f t="shared" si="7"/>
        <v>1245144.3773999996</v>
      </c>
      <c r="L25" s="104">
        <f t="shared" si="7"/>
        <v>0</v>
      </c>
      <c r="M25" s="104">
        <f>M24+M16</f>
        <v>4665678.367111666</v>
      </c>
    </row>
    <row r="26" ht="12.75" hidden="1">
      <c r="M26" s="916">
        <v>6430516.086213289</v>
      </c>
    </row>
    <row r="28" spans="2:14" ht="63">
      <c r="B28" s="1832"/>
      <c r="C28" s="1832"/>
      <c r="D28" s="1832"/>
      <c r="E28" s="442" t="s">
        <v>668</v>
      </c>
      <c r="F28" s="442" t="s">
        <v>667</v>
      </c>
      <c r="G28" s="443" t="s">
        <v>655</v>
      </c>
      <c r="H28" s="443" t="s">
        <v>656</v>
      </c>
      <c r="I28" s="443" t="s">
        <v>790</v>
      </c>
      <c r="N28" s="106"/>
    </row>
    <row r="29" spans="2:15" ht="15.75">
      <c r="B29" s="1831" t="s">
        <v>664</v>
      </c>
      <c r="C29" s="1831"/>
      <c r="D29" s="1831"/>
      <c r="E29" s="444">
        <v>12736757.200291716</v>
      </c>
      <c r="F29" s="445">
        <f>E29/E32</f>
        <v>0.46567886514839923</v>
      </c>
      <c r="G29" s="446">
        <f>C25*F29</f>
        <v>5.588146381780791</v>
      </c>
      <c r="H29" s="735"/>
      <c r="I29" s="450">
        <f>M$25*F29</f>
        <v>2172707.807143997</v>
      </c>
      <c r="N29" s="108"/>
      <c r="O29" s="109"/>
    </row>
    <row r="30" spans="2:14" ht="15.75">
      <c r="B30" s="1831" t="s">
        <v>665</v>
      </c>
      <c r="C30" s="1831"/>
      <c r="D30" s="1831"/>
      <c r="E30" s="444">
        <f>'ФОТ основных'!V30+'ФОТ основных'!V10</f>
        <v>7254672.744383475</v>
      </c>
      <c r="F30" s="445">
        <f>E30/E32</f>
        <v>0.2652439484792992</v>
      </c>
      <c r="G30" s="446">
        <f>C25*F30</f>
        <v>3.1829273817515906</v>
      </c>
      <c r="H30" s="735"/>
      <c r="I30" s="450">
        <f>M$25*F30</f>
        <v>1237542.9524271477</v>
      </c>
      <c r="N30" s="108"/>
    </row>
    <row r="31" spans="2:14" ht="15.75">
      <c r="B31" s="1831" t="s">
        <v>666</v>
      </c>
      <c r="C31" s="1831"/>
      <c r="D31" s="1831"/>
      <c r="E31" s="444">
        <v>7359515.424582347</v>
      </c>
      <c r="F31" s="445">
        <f>E31/E32</f>
        <v>0.2690771863723015</v>
      </c>
      <c r="G31" s="446">
        <f>C25*F31</f>
        <v>3.228926236467618</v>
      </c>
      <c r="H31" s="736"/>
      <c r="I31" s="450">
        <f>M$25*F31</f>
        <v>1255427.607540521</v>
      </c>
      <c r="N31" s="108"/>
    </row>
    <row r="32" spans="2:9" ht="15.75">
      <c r="B32" s="1832"/>
      <c r="C32" s="1832"/>
      <c r="D32" s="1832"/>
      <c r="E32" s="447">
        <f>E31+E30+E29</f>
        <v>27350945.36925754</v>
      </c>
      <c r="F32" s="445">
        <f>F29+F30+F31</f>
        <v>0.9999999999999999</v>
      </c>
      <c r="G32" s="448">
        <f>G29+G30+G31</f>
        <v>12</v>
      </c>
      <c r="H32" s="448">
        <f>H29+H30+H31</f>
        <v>0</v>
      </c>
      <c r="I32" s="449">
        <f>M$25*F32</f>
        <v>4665678.367111665</v>
      </c>
    </row>
    <row r="34" ht="12.75">
      <c r="K34" s="105"/>
    </row>
    <row r="35" spans="2:13" ht="36.75" customHeight="1">
      <c r="B35" s="1011"/>
      <c r="C35" s="1011"/>
      <c r="D35" s="1011"/>
      <c r="E35" s="1011"/>
      <c r="F35" s="1011"/>
      <c r="G35" s="1011"/>
      <c r="H35" s="1011"/>
      <c r="I35" s="1011"/>
      <c r="J35" s="1011"/>
      <c r="K35" s="1011"/>
      <c r="L35" s="1011"/>
      <c r="M35" s="1011"/>
    </row>
    <row r="38" ht="12.75">
      <c r="B38" s="107"/>
    </row>
  </sheetData>
  <sheetProtection selectLockedCells="1" selectUnlockedCells="1"/>
  <mergeCells count="6">
    <mergeCell ref="B31:D31"/>
    <mergeCell ref="B32:D32"/>
    <mergeCell ref="B1:N1"/>
    <mergeCell ref="B28:D28"/>
    <mergeCell ref="B29:D29"/>
    <mergeCell ref="B30:D30"/>
  </mergeCells>
  <printOptions horizontalCentered="1"/>
  <pageMargins left="0.7874015748031497" right="0.3937007874015748" top="0.3937007874015748" bottom="0.27" header="0.5118110236220472" footer="0.32"/>
  <pageSetup horizontalDpi="600" verticalDpi="600" orientation="landscape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1">
      <selection activeCell="K21" sqref="K21"/>
    </sheetView>
  </sheetViews>
  <sheetFormatPr defaultColWidth="8.8515625" defaultRowHeight="12.75"/>
  <cols>
    <col min="1" max="1" width="6.421875" style="1" customWidth="1"/>
    <col min="2" max="2" width="37.8515625" style="1" customWidth="1"/>
    <col min="3" max="6" width="13.7109375" style="1" hidden="1" customWidth="1"/>
    <col min="7" max="7" width="17.8515625" style="1" customWidth="1"/>
    <col min="8" max="8" width="22.7109375" style="1" customWidth="1"/>
    <col min="9" max="9" width="19.00390625" style="1" hidden="1" customWidth="1"/>
    <col min="10" max="10" width="21.7109375" style="1" customWidth="1"/>
    <col min="11" max="11" width="31.140625" style="1" customWidth="1"/>
    <col min="12" max="12" width="13.140625" style="1" customWidth="1"/>
    <col min="13" max="14" width="11.57421875" style="1" customWidth="1"/>
    <col min="15" max="15" width="18.7109375" style="1" customWidth="1"/>
    <col min="16" max="16" width="24.140625" style="1" customWidth="1"/>
    <col min="17" max="16384" width="8.8515625" style="1" customWidth="1"/>
  </cols>
  <sheetData>
    <row r="1" spans="1:11" s="774" customFormat="1" ht="24" customHeight="1">
      <c r="A1" s="1834" t="s">
        <v>1400</v>
      </c>
      <c r="B1" s="1834"/>
      <c r="C1" s="1834"/>
      <c r="D1" s="1834"/>
      <c r="E1" s="1834"/>
      <c r="F1" s="1834"/>
      <c r="G1" s="1834"/>
      <c r="H1" s="1834"/>
      <c r="I1" s="1834"/>
      <c r="J1" s="1834"/>
      <c r="K1" s="1834"/>
    </row>
    <row r="2" spans="1:13" s="774" customFormat="1" ht="14.25" customHeight="1">
      <c r="A2" s="1835"/>
      <c r="B2" s="1835"/>
      <c r="C2" s="1835"/>
      <c r="D2" s="1835"/>
      <c r="E2" s="1835"/>
      <c r="F2" s="1835"/>
      <c r="G2" s="1835"/>
      <c r="H2" s="1835"/>
      <c r="I2" s="1835"/>
      <c r="J2" s="1835"/>
      <c r="K2" s="1835"/>
      <c r="L2" s="774">
        <v>1.067</v>
      </c>
      <c r="M2" s="774">
        <v>1.055</v>
      </c>
    </row>
    <row r="3" spans="1:11" ht="38.25" customHeight="1">
      <c r="A3" s="606" t="s">
        <v>142</v>
      </c>
      <c r="B3" s="606" t="s">
        <v>143</v>
      </c>
      <c r="C3" s="775" t="s">
        <v>1222</v>
      </c>
      <c r="D3" s="775" t="s">
        <v>1223</v>
      </c>
      <c r="E3" s="775" t="s">
        <v>1224</v>
      </c>
      <c r="F3" s="776" t="s">
        <v>163</v>
      </c>
      <c r="G3" s="776" t="s">
        <v>292</v>
      </c>
      <c r="H3" s="776" t="s">
        <v>59</v>
      </c>
      <c r="I3" s="776" t="s">
        <v>1299</v>
      </c>
      <c r="J3" s="776" t="s">
        <v>212</v>
      </c>
      <c r="K3" s="441" t="s">
        <v>1229</v>
      </c>
    </row>
    <row r="4" spans="1:12" ht="16.5" customHeight="1">
      <c r="A4" s="620" t="s">
        <v>144</v>
      </c>
      <c r="B4" s="33" t="s">
        <v>145</v>
      </c>
      <c r="C4" s="34"/>
      <c r="D4" s="34"/>
      <c r="E4" s="34"/>
      <c r="F4" s="34"/>
      <c r="G4" s="63"/>
      <c r="H4" s="63"/>
      <c r="I4" s="63"/>
      <c r="J4" s="63"/>
      <c r="K4" s="63"/>
      <c r="L4" s="2"/>
    </row>
    <row r="5" spans="1:15" ht="17.25" customHeight="1">
      <c r="A5" s="777"/>
      <c r="B5" s="35" t="s">
        <v>146</v>
      </c>
      <c r="C5" s="1843"/>
      <c r="D5" s="1843"/>
      <c r="E5" s="1843"/>
      <c r="F5" s="1843"/>
      <c r="G5" s="62"/>
      <c r="H5" s="62"/>
      <c r="I5" s="62"/>
      <c r="J5" s="62"/>
      <c r="K5" s="62"/>
      <c r="O5" s="3"/>
    </row>
    <row r="6" spans="1:11" ht="27" customHeight="1">
      <c r="A6" s="777"/>
      <c r="B6" s="32" t="s">
        <v>338</v>
      </c>
      <c r="C6" s="117"/>
      <c r="D6" s="44" t="e">
        <f>D7+D8</f>
        <v>#REF!</v>
      </c>
      <c r="E6" s="117"/>
      <c r="F6" s="44">
        <f>F7+F8</f>
        <v>1829.48026</v>
      </c>
      <c r="G6" s="43">
        <f>G7+G8</f>
        <v>1199.5668799999999</v>
      </c>
      <c r="H6" s="43">
        <f>H7+H8</f>
        <v>591.3453704661017</v>
      </c>
      <c r="I6" s="43">
        <f>I7+I8</f>
        <v>358.09911999999997</v>
      </c>
      <c r="J6" s="43">
        <f>J7+J8</f>
        <v>804.7800400000001</v>
      </c>
      <c r="K6" s="44"/>
    </row>
    <row r="7" spans="1:11" ht="18.75" customHeight="1">
      <c r="A7" s="777"/>
      <c r="B7" s="36" t="s">
        <v>1225</v>
      </c>
      <c r="C7" s="117"/>
      <c r="D7" s="44">
        <f>'водоснабжение '!D112</f>
        <v>2075.98</v>
      </c>
      <c r="E7" s="117"/>
      <c r="F7" s="44">
        <v>1712.56294</v>
      </c>
      <c r="G7" s="44">
        <v>1064.50984</v>
      </c>
      <c r="H7" s="44">
        <f>амортизация!N530/1000</f>
        <v>355.11337894067793</v>
      </c>
      <c r="I7" s="44">
        <v>69.48463000000001</v>
      </c>
      <c r="J7" s="44">
        <v>86.46495000000002</v>
      </c>
      <c r="K7" s="1836" t="s">
        <v>579</v>
      </c>
    </row>
    <row r="8" spans="1:11" ht="21.75" customHeight="1">
      <c r="A8" s="777"/>
      <c r="B8" s="36" t="s">
        <v>1226</v>
      </c>
      <c r="C8" s="117"/>
      <c r="D8" s="44" t="e">
        <f>водоотведение!#REF!</f>
        <v>#REF!</v>
      </c>
      <c r="E8" s="117"/>
      <c r="F8" s="44">
        <v>116.91732</v>
      </c>
      <c r="G8" s="44">
        <v>135.05704</v>
      </c>
      <c r="H8" s="44">
        <f>амортизация!N533/1000</f>
        <v>236.23199152542372</v>
      </c>
      <c r="I8" s="44">
        <v>288.61449</v>
      </c>
      <c r="J8" s="44">
        <v>718.31509</v>
      </c>
      <c r="K8" s="1836"/>
    </row>
    <row r="9" spans="1:15" ht="27" customHeight="1">
      <c r="A9" s="620" t="s">
        <v>147</v>
      </c>
      <c r="B9" s="33" t="s">
        <v>1170</v>
      </c>
      <c r="C9" s="44"/>
      <c r="D9" s="44" t="e">
        <f>D11+D12</f>
        <v>#REF!</v>
      </c>
      <c r="E9" s="44"/>
      <c r="F9" s="44">
        <f>F11+F12</f>
        <v>100.67442980329471</v>
      </c>
      <c r="G9" s="43">
        <f>G11+G12</f>
        <v>200.66792693892626</v>
      </c>
      <c r="H9" s="43">
        <f>H11+H12</f>
        <v>225.88887533624518</v>
      </c>
      <c r="I9" s="43">
        <f>I11+I12</f>
        <v>50.47551584963692</v>
      </c>
      <c r="J9" s="43">
        <f>J11+J12</f>
        <v>60.72601584963692</v>
      </c>
      <c r="K9" s="779" t="s">
        <v>238</v>
      </c>
      <c r="L9" s="8">
        <f>H9/G9</f>
        <v>1.1256849999999998</v>
      </c>
      <c r="O9" s="3"/>
    </row>
    <row r="10" spans="1:11" ht="13.5">
      <c r="A10" s="441"/>
      <c r="B10" s="35" t="s">
        <v>146</v>
      </c>
      <c r="C10" s="115"/>
      <c r="D10" s="115"/>
      <c r="E10" s="115"/>
      <c r="F10" s="115"/>
      <c r="G10" s="71"/>
      <c r="H10" s="71"/>
      <c r="I10" s="71"/>
      <c r="J10" s="71"/>
      <c r="K10" s="71"/>
    </row>
    <row r="11" spans="1:11" ht="17.25" customHeight="1">
      <c r="A11" s="441"/>
      <c r="B11" s="36" t="s">
        <v>1225</v>
      </c>
      <c r="C11" s="44"/>
      <c r="D11" s="44">
        <f>'водоснабжение '!D113</f>
        <v>174.65</v>
      </c>
      <c r="E11" s="44"/>
      <c r="F11" s="44">
        <v>39.5616282993087</v>
      </c>
      <c r="G11" s="44">
        <v>98.26739143205828</v>
      </c>
      <c r="H11" s="44">
        <f>G11*M2*L2</f>
        <v>110.6181285241965</v>
      </c>
      <c r="I11" s="44">
        <v>33.80130414180435</v>
      </c>
      <c r="J11" s="44">
        <v>43.402404141804354</v>
      </c>
      <c r="K11" s="44"/>
    </row>
    <row r="12" spans="1:11" ht="18" customHeight="1">
      <c r="A12" s="441"/>
      <c r="B12" s="36" t="s">
        <v>1226</v>
      </c>
      <c r="C12" s="44"/>
      <c r="D12" s="44" t="e">
        <f>водоотведение!#REF!</f>
        <v>#REF!</v>
      </c>
      <c r="E12" s="44"/>
      <c r="F12" s="44">
        <v>61.112801503986006</v>
      </c>
      <c r="G12" s="44">
        <v>102.40053550686797</v>
      </c>
      <c r="H12" s="44">
        <f>G12*L2*M2</f>
        <v>115.27074681204866</v>
      </c>
      <c r="I12" s="44">
        <v>16.674211707832566</v>
      </c>
      <c r="J12" s="44">
        <v>17.323611707832566</v>
      </c>
      <c r="K12" s="44"/>
    </row>
    <row r="13" spans="1:14" ht="27">
      <c r="A13" s="620" t="s">
        <v>148</v>
      </c>
      <c r="B13" s="33" t="s">
        <v>451</v>
      </c>
      <c r="C13" s="44"/>
      <c r="D13" s="44" t="e">
        <f>D14+D15</f>
        <v>#REF!</v>
      </c>
      <c r="E13" s="44"/>
      <c r="F13" s="44">
        <f>F14+F15</f>
        <v>204.08938999999998</v>
      </c>
      <c r="G13" s="43">
        <f>G15+G14</f>
        <v>996.86238</v>
      </c>
      <c r="H13" s="43">
        <f>H14+H15</f>
        <v>1122.1530282302997</v>
      </c>
      <c r="I13" s="43">
        <f>I14+I15</f>
        <v>566.9767270778418</v>
      </c>
      <c r="J13" s="43">
        <f>J14+J15</f>
        <v>762.4626670778417</v>
      </c>
      <c r="K13" s="779" t="s">
        <v>238</v>
      </c>
      <c r="L13" s="8">
        <f>H13/G13</f>
        <v>1.1256849999999996</v>
      </c>
      <c r="M13" s="3">
        <v>762.4626670778418</v>
      </c>
      <c r="N13" s="3"/>
    </row>
    <row r="14" spans="1:11" ht="13.5">
      <c r="A14" s="32"/>
      <c r="B14" s="36" t="s">
        <v>1225</v>
      </c>
      <c r="C14" s="44"/>
      <c r="D14" s="44" t="e">
        <f>'водоснабжение '!#REF!</f>
        <v>#REF!</v>
      </c>
      <c r="E14" s="44"/>
      <c r="F14" s="44">
        <v>79.7695057458471</v>
      </c>
      <c r="G14" s="44">
        <v>456.45571745557766</v>
      </c>
      <c r="H14" s="44">
        <f>G14*L2*M2</f>
        <v>513.8253543039818</v>
      </c>
      <c r="I14" s="44">
        <v>240.33537407588494</v>
      </c>
      <c r="J14" s="44">
        <v>340.1545823535104</v>
      </c>
      <c r="K14" s="44"/>
    </row>
    <row r="15" spans="1:11" ht="13.5">
      <c r="A15" s="32"/>
      <c r="B15" s="36" t="s">
        <v>1226</v>
      </c>
      <c r="C15" s="44"/>
      <c r="D15" s="44" t="e">
        <f>водоотведение!#REF!</f>
        <v>#REF!</v>
      </c>
      <c r="E15" s="44"/>
      <c r="F15" s="44">
        <v>124.3198842541529</v>
      </c>
      <c r="G15" s="44">
        <v>540.4066625444224</v>
      </c>
      <c r="H15" s="44">
        <f>G15*L2*M2</f>
        <v>608.327673926318</v>
      </c>
      <c r="I15" s="44">
        <v>326.6413530019568</v>
      </c>
      <c r="J15" s="44">
        <v>422.3080847243313</v>
      </c>
      <c r="K15" s="44"/>
    </row>
    <row r="16" spans="1:11" ht="13.5">
      <c r="A16" s="32"/>
      <c r="B16" s="33"/>
      <c r="C16" s="44"/>
      <c r="D16" s="44"/>
      <c r="E16" s="44"/>
      <c r="F16" s="44"/>
      <c r="G16" s="44"/>
      <c r="H16" s="71"/>
      <c r="I16" s="71"/>
      <c r="J16" s="71"/>
      <c r="K16" s="71"/>
    </row>
    <row r="17" spans="1:14" ht="15" customHeight="1">
      <c r="A17" s="780" t="s">
        <v>1196</v>
      </c>
      <c r="B17" s="33" t="s">
        <v>1171</v>
      </c>
      <c r="C17" s="44"/>
      <c r="D17" s="44"/>
      <c r="E17" s="44"/>
      <c r="F17" s="44"/>
      <c r="G17" s="44"/>
      <c r="H17" s="44"/>
      <c r="I17" s="44"/>
      <c r="J17" s="44"/>
      <c r="K17" s="44"/>
      <c r="M17" s="61"/>
      <c r="N17" s="61"/>
    </row>
    <row r="18" spans="1:16" ht="36" customHeight="1">
      <c r="A18" s="778" t="s">
        <v>1040</v>
      </c>
      <c r="B18" s="36" t="s">
        <v>1042</v>
      </c>
      <c r="C18" s="44"/>
      <c r="D18" s="44"/>
      <c r="E18" s="44"/>
      <c r="F18" s="44"/>
      <c r="G18" s="43">
        <f>270/1000</f>
        <v>0.27</v>
      </c>
      <c r="H18" s="43">
        <f>(6044.7392+206.12599+7701.25866)</f>
        <v>13952.12385</v>
      </c>
      <c r="I18" s="43">
        <f>2094537.7/1000</f>
        <v>2094.5377</v>
      </c>
      <c r="J18" s="43">
        <f>2944853.4/1000</f>
        <v>2944.8534</v>
      </c>
      <c r="K18" s="779" t="s">
        <v>871</v>
      </c>
      <c r="L18" s="1" t="s">
        <v>1310</v>
      </c>
      <c r="M18" s="61"/>
      <c r="N18" s="1282" t="s">
        <v>1302</v>
      </c>
      <c r="O18" s="112">
        <f>7701258.66/1000</f>
        <v>7701.25866</v>
      </c>
      <c r="P18" s="1" t="s">
        <v>864</v>
      </c>
    </row>
    <row r="19" spans="1:16" ht="13.5">
      <c r="A19" s="778"/>
      <c r="B19" s="32" t="s">
        <v>1225</v>
      </c>
      <c r="C19" s="44"/>
      <c r="D19" s="44"/>
      <c r="E19" s="44"/>
      <c r="F19" s="44"/>
      <c r="G19" s="44">
        <f>G18*M19</f>
        <v>0.14936491421632453</v>
      </c>
      <c r="H19" s="44">
        <f>H18*M19</f>
        <v>7718.362155521427</v>
      </c>
      <c r="I19" s="44">
        <f>I18*N19</f>
        <v>1136.0196041893637</v>
      </c>
      <c r="J19" s="44">
        <f>J18*N19</f>
        <v>1597.2074381204513</v>
      </c>
      <c r="K19" s="44"/>
      <c r="L19" s="46">
        <f>G18</f>
        <v>0.27</v>
      </c>
      <c r="M19" s="610">
        <v>0.5532033859863871</v>
      </c>
      <c r="N19" s="582">
        <v>0.5423724787524062</v>
      </c>
      <c r="O19" s="112">
        <f>6044739.2/1000</f>
        <v>6044.7392</v>
      </c>
      <c r="P19" s="1" t="s">
        <v>626</v>
      </c>
    </row>
    <row r="20" spans="1:16" ht="13.5">
      <c r="A20" s="778"/>
      <c r="B20" s="32" t="s">
        <v>1226</v>
      </c>
      <c r="C20" s="44"/>
      <c r="D20" s="44"/>
      <c r="E20" s="44"/>
      <c r="F20" s="44"/>
      <c r="G20" s="44">
        <f>G18*M20</f>
        <v>0.12063508578367552</v>
      </c>
      <c r="H20" s="44">
        <f>H18*M20</f>
        <v>6233.761694478574</v>
      </c>
      <c r="I20" s="44">
        <f>I18*N20</f>
        <v>958.518095810636</v>
      </c>
      <c r="J20" s="44">
        <f>J18*N20</f>
        <v>1347.6459618795486</v>
      </c>
      <c r="K20" s="44"/>
      <c r="M20" s="610">
        <v>0.446796614013613</v>
      </c>
      <c r="N20" s="582">
        <v>0.45762752124759376</v>
      </c>
      <c r="O20" s="112">
        <f>206125.99/1000</f>
        <v>206.12599</v>
      </c>
      <c r="P20" s="1" t="s">
        <v>627</v>
      </c>
    </row>
    <row r="21" spans="1:14" ht="20.25" customHeight="1">
      <c r="A21" s="778" t="s">
        <v>1041</v>
      </c>
      <c r="B21" s="36" t="s">
        <v>1217</v>
      </c>
      <c r="C21" s="44"/>
      <c r="D21" s="44"/>
      <c r="E21" s="44"/>
      <c r="F21" s="44">
        <v>1000.7209552029844</v>
      </c>
      <c r="G21" s="43">
        <f>G23+G24</f>
        <v>2794.6170010427595</v>
      </c>
      <c r="H21" s="43">
        <f>H23+H24</f>
        <v>4717.253475000001</v>
      </c>
      <c r="I21" s="43">
        <f>I23+I24</f>
        <v>2699.2287869143565</v>
      </c>
      <c r="J21" s="43">
        <f>J23+J24</f>
        <v>4064.610391536609</v>
      </c>
      <c r="K21" s="43"/>
      <c r="L21" s="3">
        <v>4064.610391536609</v>
      </c>
      <c r="M21" s="61">
        <v>52641.928779661</v>
      </c>
      <c r="N21" s="61">
        <v>41244.760084745765</v>
      </c>
    </row>
    <row r="22" spans="1:14" ht="13.5">
      <c r="A22" s="777"/>
      <c r="B22" s="36" t="s">
        <v>1218</v>
      </c>
      <c r="C22" s="44"/>
      <c r="D22" s="44"/>
      <c r="E22" s="44"/>
      <c r="F22" s="44"/>
      <c r="G22" s="44"/>
      <c r="H22" s="44"/>
      <c r="I22" s="44"/>
      <c r="J22" s="44"/>
      <c r="K22" s="44"/>
      <c r="L22" s="112"/>
      <c r="M22" s="112"/>
      <c r="N22" s="112"/>
    </row>
    <row r="23" spans="1:11" ht="13.5">
      <c r="A23" s="441"/>
      <c r="B23" s="32" t="s">
        <v>1225</v>
      </c>
      <c r="C23" s="44"/>
      <c r="D23" s="44"/>
      <c r="E23" s="44"/>
      <c r="F23" s="44" t="e">
        <f>F21*#REF!</f>
        <v>#REF!</v>
      </c>
      <c r="G23" s="44">
        <v>1545.991587511977</v>
      </c>
      <c r="H23" s="44">
        <f>G41</f>
        <v>2609.600594926051</v>
      </c>
      <c r="I23" s="44">
        <v>1473.28258070647</v>
      </c>
      <c r="J23" s="44">
        <v>2204.532813220499</v>
      </c>
      <c r="K23" s="44"/>
    </row>
    <row r="24" spans="1:11" ht="13.5">
      <c r="A24" s="441"/>
      <c r="B24" s="32" t="s">
        <v>1226</v>
      </c>
      <c r="C24" s="44"/>
      <c r="D24" s="44"/>
      <c r="E24" s="44"/>
      <c r="F24" s="44" t="e">
        <f>F21*#REF!</f>
        <v>#REF!</v>
      </c>
      <c r="G24" s="44">
        <v>1248.6254135307825</v>
      </c>
      <c r="H24" s="44">
        <f>G42</f>
        <v>2107.6528800739497</v>
      </c>
      <c r="I24" s="44">
        <v>1225.9462062078867</v>
      </c>
      <c r="J24" s="44">
        <v>1860.0775783161098</v>
      </c>
      <c r="K24" s="44"/>
    </row>
    <row r="25" spans="1:11" ht="15.75" customHeight="1">
      <c r="A25" s="620" t="s">
        <v>1195</v>
      </c>
      <c r="B25" s="33" t="s">
        <v>1219</v>
      </c>
      <c r="C25" s="44"/>
      <c r="D25" s="44"/>
      <c r="E25" s="44"/>
      <c r="F25" s="44"/>
      <c r="G25" s="71"/>
      <c r="H25" s="43">
        <f>H26+H27</f>
        <v>1939.3872740326467</v>
      </c>
      <c r="I25" s="43">
        <f>I26+I27</f>
        <v>975.5513629274786</v>
      </c>
      <c r="J25" s="43">
        <f>J26+J27</f>
        <v>0</v>
      </c>
      <c r="K25" s="43"/>
    </row>
    <row r="26" spans="1:11" ht="15" customHeight="1">
      <c r="A26" s="780"/>
      <c r="B26" s="36" t="s">
        <v>1225</v>
      </c>
      <c r="C26" s="44"/>
      <c r="D26" s="44"/>
      <c r="E26" s="44"/>
      <c r="F26" s="44"/>
      <c r="G26" s="71"/>
      <c r="H26" s="44">
        <f>H14+H11+H7</f>
        <v>979.5568617688564</v>
      </c>
      <c r="I26" s="44">
        <f>I14+I11+I7</f>
        <v>343.62130821768926</v>
      </c>
      <c r="J26" s="44"/>
      <c r="K26" s="44"/>
    </row>
    <row r="27" spans="1:11" ht="17.25" customHeight="1">
      <c r="A27" s="780"/>
      <c r="B27" s="36" t="s">
        <v>1226</v>
      </c>
      <c r="C27" s="44"/>
      <c r="D27" s="44"/>
      <c r="E27" s="44"/>
      <c r="F27" s="44"/>
      <c r="G27" s="71"/>
      <c r="H27" s="44">
        <f>H15+H12+H8</f>
        <v>959.8304122637903</v>
      </c>
      <c r="I27" s="44">
        <f>I15+I12+I8</f>
        <v>631.9300547097894</v>
      </c>
      <c r="J27" s="44"/>
      <c r="K27" s="44"/>
    </row>
    <row r="28" spans="1:12" ht="14.25" customHeight="1">
      <c r="A28" s="780" t="s">
        <v>1198</v>
      </c>
      <c r="B28" s="33" t="s">
        <v>316</v>
      </c>
      <c r="C28" s="44"/>
      <c r="D28" s="44"/>
      <c r="E28" s="44"/>
      <c r="F28" s="44"/>
      <c r="G28" s="71"/>
      <c r="H28" s="43">
        <f>H31+H32</f>
        <v>484.8468185081617</v>
      </c>
      <c r="I28" s="43">
        <f>I31+I32</f>
        <v>243.88784073186966</v>
      </c>
      <c r="J28" s="43">
        <f>J31+J32</f>
        <v>0</v>
      </c>
      <c r="K28" s="43"/>
      <c r="L28" s="61"/>
    </row>
    <row r="29" spans="1:11" ht="13.5" hidden="1">
      <c r="A29" s="441"/>
      <c r="B29" s="35" t="s">
        <v>1220</v>
      </c>
      <c r="C29" s="1844"/>
      <c r="D29" s="1844"/>
      <c r="E29" s="1844"/>
      <c r="F29" s="1844"/>
      <c r="G29" s="71"/>
      <c r="H29" s="71"/>
      <c r="I29" s="71"/>
      <c r="J29" s="71"/>
      <c r="K29" s="71"/>
    </row>
    <row r="30" spans="1:11" ht="13.5" hidden="1">
      <c r="A30" s="441"/>
      <c r="B30" s="32" t="s">
        <v>1221</v>
      </c>
      <c r="C30" s="44"/>
      <c r="D30" s="44"/>
      <c r="E30" s="44"/>
      <c r="F30" s="44"/>
      <c r="G30" s="71"/>
      <c r="H30" s="71"/>
      <c r="I30" s="71"/>
      <c r="J30" s="71"/>
      <c r="K30" s="71"/>
    </row>
    <row r="31" spans="1:11" ht="13.5">
      <c r="A31" s="441"/>
      <c r="B31" s="36" t="s">
        <v>1225</v>
      </c>
      <c r="C31" s="44"/>
      <c r="D31" s="44"/>
      <c r="E31" s="44"/>
      <c r="F31" s="44"/>
      <c r="G31" s="71"/>
      <c r="H31" s="44">
        <f aca="true" t="shared" si="0" ref="H31:J32">H26/0.8*0.2</f>
        <v>244.8892154422141</v>
      </c>
      <c r="I31" s="44">
        <f t="shared" si="0"/>
        <v>85.90532705442232</v>
      </c>
      <c r="J31" s="44">
        <f t="shared" si="0"/>
        <v>0</v>
      </c>
      <c r="K31" s="44"/>
    </row>
    <row r="32" spans="1:11" ht="13.5">
      <c r="A32" s="441"/>
      <c r="B32" s="36" t="s">
        <v>1226</v>
      </c>
      <c r="C32" s="44"/>
      <c r="D32" s="44"/>
      <c r="E32" s="44"/>
      <c r="F32" s="44"/>
      <c r="G32" s="71"/>
      <c r="H32" s="44">
        <f t="shared" si="0"/>
        <v>239.95760306594758</v>
      </c>
      <c r="I32" s="44">
        <f t="shared" si="0"/>
        <v>157.98251367744734</v>
      </c>
      <c r="J32" s="44">
        <f t="shared" si="0"/>
        <v>0</v>
      </c>
      <c r="K32" s="44"/>
    </row>
    <row r="33" spans="1:12" ht="27">
      <c r="A33" s="620" t="s">
        <v>1199</v>
      </c>
      <c r="B33" s="37" t="s">
        <v>452</v>
      </c>
      <c r="C33" s="43">
        <f>C34+C35</f>
        <v>1803.1</v>
      </c>
      <c r="D33" s="43" t="e">
        <f>D34+D35</f>
        <v>#REF!</v>
      </c>
      <c r="E33" s="43">
        <f>E34+E35</f>
        <v>1361.54</v>
      </c>
      <c r="F33" s="43" t="e">
        <f>F34+F35</f>
        <v>#REF!</v>
      </c>
      <c r="G33" s="43">
        <f>G35+G34</f>
        <v>5191.984187981685</v>
      </c>
      <c r="H33" s="43">
        <f>H35+H34</f>
        <v>21093.611417540807</v>
      </c>
      <c r="I33" s="43">
        <f>I35+I34</f>
        <v>6013.2056905737045</v>
      </c>
      <c r="J33" s="43">
        <f>J6+J9+J13+J18+J21</f>
        <v>8637.432514464088</v>
      </c>
      <c r="K33" s="43"/>
      <c r="L33" s="2"/>
    </row>
    <row r="34" spans="1:16" ht="16.5" customHeight="1">
      <c r="A34" s="781"/>
      <c r="B34" s="36" t="s">
        <v>1225</v>
      </c>
      <c r="C34" s="42">
        <f>'водоснабжение '!C110</f>
        <v>1357.2</v>
      </c>
      <c r="D34" s="42" t="e">
        <f>D11+D14+D7</f>
        <v>#REF!</v>
      </c>
      <c r="E34" s="42">
        <v>527.19</v>
      </c>
      <c r="F34" s="42" t="e">
        <f>F11+F14+F7+F23</f>
        <v>#REF!</v>
      </c>
      <c r="G34" s="42">
        <f>G7+G11+G14+G23+G19</f>
        <v>3165.373901313829</v>
      </c>
      <c r="H34" s="23">
        <f>H7+H11+H14+H23+H31+H19</f>
        <v>11552.408827658548</v>
      </c>
      <c r="I34" s="23">
        <f>I7+I11+I14+I23+I31+I19</f>
        <v>3038.828820167945</v>
      </c>
      <c r="J34" s="23">
        <f>J7+J11+J14+J23+J31+J19</f>
        <v>4271.762187836265</v>
      </c>
      <c r="K34" s="42"/>
      <c r="L34" s="3">
        <v>2674.554749715814</v>
      </c>
      <c r="M34" s="3">
        <f>J7+J11+J14+J23</f>
        <v>2674.554749715814</v>
      </c>
      <c r="N34" s="3">
        <f>J19</f>
        <v>1597.2074381204513</v>
      </c>
      <c r="O34" s="3">
        <f>N34+M34</f>
        <v>4271.762187836265</v>
      </c>
      <c r="P34" s="3">
        <f>O34-J34</f>
        <v>0</v>
      </c>
    </row>
    <row r="35" spans="1:16" ht="17.25" customHeight="1">
      <c r="A35" s="781"/>
      <c r="B35" s="36" t="s">
        <v>1226</v>
      </c>
      <c r="C35" s="42">
        <f>водоотведение!C77</f>
        <v>445.9</v>
      </c>
      <c r="D35" s="42" t="e">
        <f>D12+D15+D8</f>
        <v>#REF!</v>
      </c>
      <c r="E35" s="42">
        <v>834.35</v>
      </c>
      <c r="F35" s="42" t="e">
        <f>F12+F15+F8+F24</f>
        <v>#REF!</v>
      </c>
      <c r="G35" s="42">
        <f>G8+G12+G15+G24+G20</f>
        <v>2026.6102866678566</v>
      </c>
      <c r="H35" s="23">
        <f>H8+H12+H15+H32+H20+H24</f>
        <v>9541.202589882261</v>
      </c>
      <c r="I35" s="23">
        <f>I8+I12+I15+I32+I20+I24</f>
        <v>2974.3768704057593</v>
      </c>
      <c r="J35" s="23">
        <f>J8+J12+J15+J32+J20+J24</f>
        <v>4365.670326627822</v>
      </c>
      <c r="K35" s="42"/>
      <c r="L35" s="3">
        <v>3018.024364748274</v>
      </c>
      <c r="M35" s="3">
        <f>J8+J12+J15+J24</f>
        <v>3018.024364748274</v>
      </c>
      <c r="N35" s="3">
        <f>J20</f>
        <v>1347.6459618795486</v>
      </c>
      <c r="O35" s="3">
        <f>N35+M35</f>
        <v>4365.670326627823</v>
      </c>
      <c r="P35" s="3">
        <f>O35-J35</f>
        <v>0</v>
      </c>
    </row>
    <row r="36" ht="12.75"/>
    <row r="37" spans="2:11" ht="16.5" customHeight="1">
      <c r="B37" s="1839" t="s">
        <v>309</v>
      </c>
      <c r="C37" s="1839"/>
      <c r="D37" s="1839"/>
      <c r="E37" s="1839"/>
      <c r="F37" s="1839"/>
      <c r="G37" s="1839"/>
      <c r="H37" s="1839"/>
      <c r="I37" s="1839"/>
      <c r="J37" s="1839"/>
      <c r="K37" s="1839"/>
    </row>
    <row r="38" spans="2:16" ht="30" customHeight="1">
      <c r="B38" s="611"/>
      <c r="C38" s="611"/>
      <c r="D38" s="612" t="s">
        <v>686</v>
      </c>
      <c r="E38" s="612" t="s">
        <v>310</v>
      </c>
      <c r="F38" s="612" t="s">
        <v>311</v>
      </c>
      <c r="G38" s="612" t="s">
        <v>311</v>
      </c>
      <c r="H38" s="612" t="s">
        <v>312</v>
      </c>
      <c r="I38" s="612"/>
      <c r="J38" s="612" t="s">
        <v>314</v>
      </c>
      <c r="K38" s="441" t="s">
        <v>1229</v>
      </c>
      <c r="L38" s="609">
        <f>33100.27272</f>
        <v>33100.27272</v>
      </c>
      <c r="M38" s="1">
        <f>0.0825*1.5</f>
        <v>0.12375</v>
      </c>
      <c r="O38" s="618" t="s">
        <v>315</v>
      </c>
      <c r="P38" s="618"/>
    </row>
    <row r="39" spans="2:11" ht="21" customHeight="1">
      <c r="B39" s="1837" t="s">
        <v>313</v>
      </c>
      <c r="C39" s="1838"/>
      <c r="D39" s="613">
        <v>2219.17114569595</v>
      </c>
      <c r="E39" s="613">
        <f>(32291.09889-430.79071)*(0.0825+0.04)</f>
        <v>3902.88775205</v>
      </c>
      <c r="F39" s="613">
        <f>(32291.09889-430.79071)*1.044*(0.0825+0.04)</f>
        <v>4074.6148131402006</v>
      </c>
      <c r="G39" s="1283">
        <f>38119.22*(0.0825*1.5)</f>
        <v>4717.253475</v>
      </c>
      <c r="H39" s="1283">
        <f>39795.63*(0.0825*1.5)</f>
        <v>4924.7092125</v>
      </c>
      <c r="I39" s="1283"/>
      <c r="J39" s="1283">
        <f>41506.84*(0.0825*1.5)</f>
        <v>5136.471449999999</v>
      </c>
      <c r="K39" s="62"/>
    </row>
    <row r="40" spans="2:14" ht="12.75">
      <c r="B40" s="614">
        <v>2014</v>
      </c>
      <c r="C40" s="614">
        <v>2015</v>
      </c>
      <c r="D40" s="615"/>
      <c r="E40" s="615"/>
      <c r="F40" s="615"/>
      <c r="G40" s="1284"/>
      <c r="H40" s="1285"/>
      <c r="I40" s="1285"/>
      <c r="J40" s="1285"/>
      <c r="K40" s="62"/>
      <c r="M40" s="3"/>
      <c r="N40" s="3"/>
    </row>
    <row r="41" spans="2:16" ht="15">
      <c r="B41" s="616">
        <v>0.5532033859863871</v>
      </c>
      <c r="C41" s="617" t="e">
        <f>#REF!/#REF!</f>
        <v>#REF!</v>
      </c>
      <c r="D41" s="613">
        <f>D39*B41</f>
        <v>1227.6529918822896</v>
      </c>
      <c r="E41" s="613" t="e">
        <f>E39*C41</f>
        <v>#REF!</v>
      </c>
      <c r="F41" s="613" t="e">
        <f>F39*C41</f>
        <v>#REF!</v>
      </c>
      <c r="G41" s="1286">
        <f>G39*B41</f>
        <v>2609.600594926051</v>
      </c>
      <c r="H41" s="1286">
        <f>H39*B41</f>
        <v>2724.365811353354</v>
      </c>
      <c r="I41" s="1286"/>
      <c r="J41" s="1286">
        <f>J39*B41</f>
        <v>2841.5133981624067</v>
      </c>
      <c r="K41" s="62"/>
      <c r="M41" s="3">
        <v>38119.22232134473</v>
      </c>
      <c r="N41" s="3"/>
      <c r="O41" s="3">
        <v>39795.62929419076</v>
      </c>
      <c r="P41" s="3">
        <v>41506.84135384095</v>
      </c>
    </row>
    <row r="42" spans="2:11" ht="15">
      <c r="B42" s="616">
        <v>0.446796614013613</v>
      </c>
      <c r="C42" s="617" t="e">
        <f>#REF!/#REF!</f>
        <v>#REF!</v>
      </c>
      <c r="D42" s="613">
        <f>D39*B42</f>
        <v>991.5181538136608</v>
      </c>
      <c r="E42" s="613" t="e">
        <f>E39*C42</f>
        <v>#REF!</v>
      </c>
      <c r="F42" s="613" t="e">
        <f>F39*C42</f>
        <v>#REF!</v>
      </c>
      <c r="G42" s="1286">
        <f>G39*B42</f>
        <v>2107.6528800739497</v>
      </c>
      <c r="H42" s="1286">
        <f>B42*H39</f>
        <v>2200.3434011466466</v>
      </c>
      <c r="I42" s="1286"/>
      <c r="J42" s="1286">
        <f>J39*B42</f>
        <v>2294.9580518375924</v>
      </c>
      <c r="K42" s="62"/>
    </row>
    <row r="43" ht="12.75"/>
    <row r="44" spans="2:12" ht="28.5" customHeight="1">
      <c r="B44" s="62"/>
      <c r="C44" s="1840" t="s">
        <v>640</v>
      </c>
      <c r="D44" s="1840"/>
      <c r="E44" s="62"/>
      <c r="F44" s="62"/>
      <c r="G44" s="1841" t="s">
        <v>640</v>
      </c>
      <c r="H44" s="1842"/>
      <c r="I44" s="1249"/>
      <c r="J44" s="1249"/>
      <c r="K44" s="608"/>
      <c r="L44" s="1">
        <f>(0.0825*1.5)</f>
        <v>0.12375</v>
      </c>
    </row>
    <row r="45" spans="2:11" ht="27">
      <c r="B45" s="62"/>
      <c r="C45" s="62" t="s">
        <v>1258</v>
      </c>
      <c r="D45" s="62" t="s">
        <v>1259</v>
      </c>
      <c r="E45" s="62"/>
      <c r="F45" s="62"/>
      <c r="G45" s="36" t="s">
        <v>1225</v>
      </c>
      <c r="H45" s="620" t="s">
        <v>1226</v>
      </c>
      <c r="I45" s="1250"/>
      <c r="J45" s="1250"/>
      <c r="K45" s="608"/>
    </row>
    <row r="46" spans="2:10" ht="12.75">
      <c r="B46" s="62" t="s">
        <v>641</v>
      </c>
      <c r="C46" s="62">
        <v>1428.78</v>
      </c>
      <c r="D46" s="62">
        <v>4073.3</v>
      </c>
      <c r="E46" s="62"/>
      <c r="F46" s="62"/>
      <c r="G46" s="621">
        <v>1428.78</v>
      </c>
      <c r="H46" s="621">
        <v>4073.3</v>
      </c>
      <c r="I46" s="1251"/>
      <c r="J46" s="1251"/>
    </row>
    <row r="47" spans="2:10" ht="12.75">
      <c r="B47" s="62" t="s">
        <v>319</v>
      </c>
      <c r="C47" s="619">
        <v>431.58</v>
      </c>
      <c r="D47" s="62">
        <v>1230.25</v>
      </c>
      <c r="E47" s="62"/>
      <c r="F47" s="62"/>
      <c r="G47" s="621">
        <v>431.58</v>
      </c>
      <c r="H47" s="621">
        <v>1230.25</v>
      </c>
      <c r="I47" s="1251"/>
      <c r="J47" s="1251"/>
    </row>
    <row r="48" spans="2:10" ht="12.75">
      <c r="B48" s="62" t="s">
        <v>318</v>
      </c>
      <c r="C48" s="62">
        <v>270.02</v>
      </c>
      <c r="D48" s="62">
        <v>339.09</v>
      </c>
      <c r="E48" s="62"/>
      <c r="F48" s="62"/>
      <c r="G48" s="621">
        <v>270.02</v>
      </c>
      <c r="H48" s="621">
        <v>339.09</v>
      </c>
      <c r="I48" s="1251"/>
      <c r="J48" s="1251"/>
    </row>
    <row r="49" spans="2:10" ht="12.75">
      <c r="B49" s="62"/>
      <c r="C49" s="62"/>
      <c r="D49" s="62"/>
      <c r="E49" s="62"/>
      <c r="F49" s="62"/>
      <c r="G49" s="622">
        <f>G46+G47+G48</f>
        <v>2130.38</v>
      </c>
      <c r="H49" s="622">
        <f>H46+H47+H48</f>
        <v>5642.64</v>
      </c>
      <c r="I49" s="1252"/>
      <c r="J49" s="1252"/>
    </row>
    <row r="50" spans="2:10" ht="12.75">
      <c r="B50" s="62" t="s">
        <v>320</v>
      </c>
      <c r="C50" s="62"/>
      <c r="D50" s="62"/>
      <c r="E50" s="62"/>
      <c r="F50" s="62"/>
      <c r="G50" s="622">
        <f>G49/3</f>
        <v>710.1266666666667</v>
      </c>
      <c r="H50" s="622">
        <f>H49/3</f>
        <v>1880.88</v>
      </c>
      <c r="I50" s="1252"/>
      <c r="J50" s="1252"/>
    </row>
    <row r="51" spans="3:4" ht="13.5">
      <c r="C51" s="116">
        <f>C48+C47+C46</f>
        <v>2130.38</v>
      </c>
      <c r="D51" s="116">
        <f>D48+D47+D46</f>
        <v>5642.64</v>
      </c>
    </row>
    <row r="52" spans="2:11" s="1143" customFormat="1" ht="26.25" customHeight="1">
      <c r="B52" s="1141" t="s">
        <v>1293</v>
      </c>
      <c r="C52" s="1141"/>
      <c r="D52" s="1141"/>
      <c r="E52" s="1141"/>
      <c r="F52" s="1141"/>
      <c r="G52" s="1141"/>
      <c r="H52" s="1141"/>
      <c r="I52" s="1141"/>
      <c r="J52" s="1141"/>
      <c r="K52" s="1142"/>
    </row>
    <row r="54" ht="12.75">
      <c r="B54" s="608" t="s">
        <v>948</v>
      </c>
    </row>
    <row r="55" ht="12.75">
      <c r="B55" s="608" t="s">
        <v>947</v>
      </c>
    </row>
    <row r="56" ht="12.75">
      <c r="B56" s="1" t="s">
        <v>1292</v>
      </c>
    </row>
  </sheetData>
  <sheetProtection/>
  <mergeCells count="8">
    <mergeCell ref="A1:K2"/>
    <mergeCell ref="K7:K8"/>
    <mergeCell ref="B39:C39"/>
    <mergeCell ref="B37:K37"/>
    <mergeCell ref="C44:D44"/>
    <mergeCell ref="G44:H44"/>
    <mergeCell ref="C5:F5"/>
    <mergeCell ref="C29:F29"/>
  </mergeCells>
  <printOptions horizontalCentered="1"/>
  <pageMargins left="0.5905511811023623" right="0.7086614173228347" top="0.7480314960629921" bottom="0.7480314960629921" header="0.31496062992125984" footer="0.31496062992125984"/>
  <pageSetup horizontalDpi="600" verticalDpi="600" orientation="portrait" paperSize="9" scale="65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PageLayoutView="0" workbookViewId="0" topLeftCell="A7">
      <selection activeCell="A13" sqref="A13:IV14"/>
    </sheetView>
  </sheetViews>
  <sheetFormatPr defaultColWidth="8.8515625" defaultRowHeight="12.75"/>
  <cols>
    <col min="1" max="1" width="33.8515625" style="1" customWidth="1"/>
    <col min="2" max="2" width="9.140625" style="1" customWidth="1"/>
    <col min="3" max="3" width="12.00390625" style="1" hidden="1" customWidth="1"/>
    <col min="4" max="4" width="20.140625" style="1" customWidth="1"/>
    <col min="5" max="5" width="21.421875" style="1" customWidth="1"/>
    <col min="6" max="6" width="22.57421875" style="1" customWidth="1"/>
    <col min="7" max="7" width="22.00390625" style="1" customWidth="1"/>
    <col min="8" max="8" width="34.7109375" style="1" customWidth="1"/>
    <col min="9" max="13" width="8.8515625" style="1" customWidth="1"/>
    <col min="14" max="14" width="9.421875" style="1" bestFit="1" customWidth="1"/>
    <col min="15" max="15" width="19.28125" style="1" customWidth="1"/>
    <col min="16" max="16384" width="8.8515625" style="1" customWidth="1"/>
  </cols>
  <sheetData>
    <row r="1" spans="1:8" s="1154" customFormat="1" ht="59.25" customHeight="1" thickBot="1">
      <c r="A1" s="1846" t="s">
        <v>1401</v>
      </c>
      <c r="B1" s="1846"/>
      <c r="C1" s="1846"/>
      <c r="D1" s="1846"/>
      <c r="E1" s="1846"/>
      <c r="F1" s="1846"/>
      <c r="G1" s="1846"/>
      <c r="H1" s="1846"/>
    </row>
    <row r="2" spans="1:8" ht="40.5">
      <c r="A2" s="16" t="s">
        <v>1157</v>
      </c>
      <c r="B2" s="17" t="s">
        <v>1200</v>
      </c>
      <c r="C2" s="12" t="s">
        <v>1230</v>
      </c>
      <c r="D2" s="641" t="s">
        <v>290</v>
      </c>
      <c r="E2" s="641" t="s">
        <v>59</v>
      </c>
      <c r="F2" s="1229" t="s">
        <v>1299</v>
      </c>
      <c r="G2" s="1229" t="s">
        <v>212</v>
      </c>
      <c r="H2" s="40" t="s">
        <v>1229</v>
      </c>
    </row>
    <row r="3" spans="1:14" ht="57.75" customHeight="1">
      <c r="A3" s="5" t="s">
        <v>1201</v>
      </c>
      <c r="B3" s="68" t="s">
        <v>1202</v>
      </c>
      <c r="C3" s="23">
        <v>849.2</v>
      </c>
      <c r="D3" s="42">
        <v>1030.0484296807738</v>
      </c>
      <c r="E3" s="42">
        <f>N5</f>
        <v>0</v>
      </c>
      <c r="F3" s="1245">
        <v>458.64677992914784</v>
      </c>
      <c r="G3" s="1245">
        <v>730.4429273015198</v>
      </c>
      <c r="H3" s="15" t="s">
        <v>870</v>
      </c>
      <c r="J3" s="65">
        <f>'баланс вс'!L48</f>
        <v>0</v>
      </c>
      <c r="K3" s="3">
        <f>J3/2</f>
        <v>0</v>
      </c>
      <c r="L3" s="65">
        <v>32.44</v>
      </c>
      <c r="M3" s="65">
        <f>L3*K3</f>
        <v>0</v>
      </c>
      <c r="N3" s="65">
        <f>M3*0.04</f>
        <v>0</v>
      </c>
    </row>
    <row r="4" spans="1:17" ht="30.75" customHeight="1" thickBot="1">
      <c r="A4" s="825" t="s">
        <v>1203</v>
      </c>
      <c r="B4" s="645" t="s">
        <v>1202</v>
      </c>
      <c r="C4" s="826">
        <v>849.2</v>
      </c>
      <c r="D4" s="827">
        <f>D3</f>
        <v>1030.0484296807738</v>
      </c>
      <c r="E4" s="827">
        <f>E3</f>
        <v>0</v>
      </c>
      <c r="F4" s="827">
        <f>F3</f>
        <v>458.64677992914784</v>
      </c>
      <c r="G4" s="827">
        <f>G3</f>
        <v>730.4429273015198</v>
      </c>
      <c r="H4" s="828"/>
      <c r="K4" s="2"/>
      <c r="L4" s="65">
        <f>L3*1.074</f>
        <v>34.840559999999996</v>
      </c>
      <c r="M4" s="65">
        <f>K3*L4</f>
        <v>0</v>
      </c>
      <c r="N4" s="65">
        <f>M4*0.04</f>
        <v>0</v>
      </c>
      <c r="O4" s="1" t="s">
        <v>324</v>
      </c>
      <c r="Q4" s="2">
        <v>87.10839999999999</v>
      </c>
    </row>
    <row r="5" spans="1:14" ht="13.5">
      <c r="A5" s="22"/>
      <c r="B5" s="22"/>
      <c r="C5" s="22"/>
      <c r="D5" s="22"/>
      <c r="E5" s="22"/>
      <c r="F5" s="22"/>
      <c r="G5" s="22"/>
      <c r="H5" s="22"/>
      <c r="M5" s="482"/>
      <c r="N5" s="626">
        <f>N4+N3</f>
        <v>0</v>
      </c>
    </row>
    <row r="6" spans="1:8" ht="41.25" customHeight="1" thickBot="1">
      <c r="A6" s="1846" t="s">
        <v>1402</v>
      </c>
      <c r="B6" s="1846"/>
      <c r="C6" s="1846"/>
      <c r="D6" s="1846"/>
      <c r="E6" s="1846"/>
      <c r="F6" s="1846"/>
      <c r="G6" s="1846"/>
      <c r="H6" s="1846"/>
    </row>
    <row r="7" spans="1:8" ht="51.75" customHeight="1">
      <c r="A7" s="16" t="s">
        <v>1157</v>
      </c>
      <c r="B7" s="17" t="s">
        <v>1200</v>
      </c>
      <c r="C7" s="12" t="s">
        <v>1185</v>
      </c>
      <c r="D7" s="641" t="s">
        <v>290</v>
      </c>
      <c r="E7" s="641" t="s">
        <v>59</v>
      </c>
      <c r="F7" s="1229" t="s">
        <v>1299</v>
      </c>
      <c r="G7" s="1229" t="s">
        <v>212</v>
      </c>
      <c r="H7" s="40" t="s">
        <v>1229</v>
      </c>
    </row>
    <row r="8" spans="1:8" ht="50.25" customHeight="1">
      <c r="A8" s="5" t="s">
        <v>1201</v>
      </c>
      <c r="B8" s="68" t="s">
        <v>1202</v>
      </c>
      <c r="C8" s="23">
        <v>698.7</v>
      </c>
      <c r="D8" s="640">
        <v>728.865225230248</v>
      </c>
      <c r="E8" s="640">
        <v>795.9716250782345</v>
      </c>
      <c r="F8" s="1246">
        <v>346.5639000540285</v>
      </c>
      <c r="G8" s="1246">
        <v>558.4468726816565</v>
      </c>
      <c r="H8" s="15" t="s">
        <v>870</v>
      </c>
    </row>
    <row r="9" spans="1:16" ht="36.75" customHeight="1" thickBot="1">
      <c r="A9" s="642" t="s">
        <v>1203</v>
      </c>
      <c r="B9" s="645" t="s">
        <v>1202</v>
      </c>
      <c r="C9" s="643">
        <v>698.7</v>
      </c>
      <c r="D9" s="827">
        <f>D8</f>
        <v>728.865225230248</v>
      </c>
      <c r="E9" s="827">
        <f>E8</f>
        <v>795.9716250782345</v>
      </c>
      <c r="F9" s="827">
        <f>F8</f>
        <v>346.5639000540285</v>
      </c>
      <c r="G9" s="827">
        <f>G8</f>
        <v>558.4468726816565</v>
      </c>
      <c r="H9" s="644"/>
      <c r="J9" s="65">
        <f>'баланс во'!J37</f>
        <v>0</v>
      </c>
      <c r="K9" s="1">
        <f>J9/2</f>
        <v>0</v>
      </c>
      <c r="L9" s="1">
        <v>31.84</v>
      </c>
      <c r="M9" s="65">
        <f>L9*K9</f>
        <v>0</v>
      </c>
      <c r="N9" s="65">
        <f>M9*0.04</f>
        <v>0</v>
      </c>
      <c r="P9" s="774"/>
    </row>
    <row r="10" spans="1:15" ht="13.5">
      <c r="A10" s="22"/>
      <c r="B10" s="22"/>
      <c r="C10" s="22"/>
      <c r="D10" s="22"/>
      <c r="E10" s="22"/>
      <c r="F10" s="22"/>
      <c r="G10" s="22"/>
      <c r="H10" s="22"/>
      <c r="K10" s="2"/>
      <c r="L10" s="65">
        <f>L9*1.074</f>
        <v>34.19616</v>
      </c>
      <c r="M10" s="65">
        <f>K9*L10</f>
        <v>0</v>
      </c>
      <c r="N10" s="65">
        <f>M10*0.04</f>
        <v>0</v>
      </c>
      <c r="O10" s="1" t="s">
        <v>324</v>
      </c>
    </row>
    <row r="11" spans="1:14" ht="30.75" customHeight="1">
      <c r="A11" s="22"/>
      <c r="B11" s="22"/>
      <c r="C11" s="22"/>
      <c r="D11" s="22"/>
      <c r="E11" s="22"/>
      <c r="F11" s="22"/>
      <c r="G11" s="22"/>
      <c r="H11" s="22"/>
      <c r="M11" s="482"/>
      <c r="N11" s="626">
        <f>N10+N9</f>
        <v>0</v>
      </c>
    </row>
    <row r="12" spans="1:8" ht="13.5">
      <c r="A12" s="22"/>
      <c r="B12" s="22"/>
      <c r="C12" s="22"/>
      <c r="D12" s="22"/>
      <c r="E12" s="22"/>
      <c r="F12" s="22"/>
      <c r="G12" s="22"/>
      <c r="H12" s="22"/>
    </row>
    <row r="13" spans="1:8" s="1155" customFormat="1" ht="24" customHeight="1">
      <c r="A13" s="1845"/>
      <c r="B13" s="1845"/>
      <c r="C13" s="1845"/>
      <c r="D13" s="1845"/>
      <c r="E13" s="1156"/>
      <c r="F13" s="1156"/>
      <c r="G13" s="1156"/>
      <c r="H13" s="1156"/>
    </row>
    <row r="14" spans="1:8" ht="28.5" customHeight="1">
      <c r="A14" s="1845"/>
      <c r="B14" s="1845"/>
      <c r="C14" s="1845"/>
      <c r="D14" s="1845"/>
      <c r="E14" s="22"/>
      <c r="F14" s="22"/>
      <c r="G14" s="22"/>
      <c r="H14" s="1155"/>
    </row>
    <row r="15" spans="1:4" ht="12.75">
      <c r="A15" s="1157"/>
      <c r="B15" s="1157"/>
      <c r="C15" s="1157"/>
      <c r="D15" s="1157"/>
    </row>
    <row r="16" ht="12.75">
      <c r="D16" s="65"/>
    </row>
    <row r="17" ht="12.75">
      <c r="D17" s="65"/>
    </row>
    <row r="18" ht="12.75">
      <c r="D18" s="3"/>
    </row>
    <row r="21" spans="6:7" ht="12.75">
      <c r="F21" s="1247">
        <f>793210.68/1000</f>
        <v>793.21068</v>
      </c>
      <c r="G21" s="1247"/>
    </row>
    <row r="23" spans="6:7" ht="12.75">
      <c r="F23" s="65">
        <f>F9+F4</f>
        <v>805.2106799831763</v>
      </c>
      <c r="G23" s="65"/>
    </row>
    <row r="24" spans="6:7" ht="12.75">
      <c r="F24" s="65">
        <f>F23-F21</f>
        <v>11.99999998317628</v>
      </c>
      <c r="G24" s="65"/>
    </row>
  </sheetData>
  <sheetProtection/>
  <mergeCells count="4">
    <mergeCell ref="A14:D14"/>
    <mergeCell ref="A1:H1"/>
    <mergeCell ref="A6:H6"/>
    <mergeCell ref="A13:D13"/>
  </mergeCells>
  <printOptions horizontalCentered="1"/>
  <pageMargins left="0.7874015748031497" right="0.3937007874015748" top="0.5905511811023623" bottom="0.5905511811023623" header="0.5118110236220472" footer="0.5118110236220472"/>
  <pageSetup fitToHeight="1" fitToWidth="1" horizontalDpi="600" verticalDpi="600" orientation="landscape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653"/>
  <sheetViews>
    <sheetView zoomScalePageLayoutView="0" workbookViewId="0" topLeftCell="B588">
      <selection activeCell="B544" sqref="A544:IV544"/>
    </sheetView>
  </sheetViews>
  <sheetFormatPr defaultColWidth="9.140625" defaultRowHeight="12.75" outlineLevelRow="4"/>
  <cols>
    <col min="1" max="1" width="3.57421875" style="647" hidden="1" customWidth="1"/>
    <col min="2" max="2" width="22.8515625" style="648" customWidth="1"/>
    <col min="3" max="3" width="19.28125" style="648" customWidth="1"/>
    <col min="4" max="4" width="18.421875" style="648" customWidth="1"/>
    <col min="5" max="5" width="15.8515625" style="648" customWidth="1"/>
    <col min="6" max="6" width="17.28125" style="648" customWidth="1"/>
    <col min="7" max="7" width="17.28125" style="648" hidden="1" customWidth="1"/>
    <col min="8" max="8" width="15.00390625" style="649" customWidth="1"/>
    <col min="9" max="9" width="6.28125" style="648" hidden="1" customWidth="1"/>
    <col min="10" max="10" width="8.421875" style="648" hidden="1" customWidth="1"/>
    <col min="11" max="11" width="14.7109375" style="648" hidden="1" customWidth="1"/>
    <col min="12" max="12" width="15.00390625" style="648" customWidth="1"/>
    <col min="13" max="13" width="20.140625" style="648" customWidth="1"/>
    <col min="14" max="14" width="17.00390625" style="648" customWidth="1"/>
    <col min="15" max="15" width="14.8515625" style="647" customWidth="1"/>
    <col min="16" max="16" width="17.7109375" style="647" customWidth="1"/>
    <col min="17" max="17" width="18.57421875" style="646" customWidth="1"/>
    <col min="18" max="18" width="16.7109375" style="647" customWidth="1"/>
    <col min="19" max="16384" width="9.140625" style="647" customWidth="1"/>
  </cols>
  <sheetData>
    <row r="1" spans="2:16" ht="19.5" customHeight="1">
      <c r="B1" s="1874" t="s">
        <v>1403</v>
      </c>
      <c r="C1" s="1874"/>
      <c r="D1" s="1874"/>
      <c r="E1" s="1874"/>
      <c r="F1" s="1874"/>
      <c r="G1" s="1874"/>
      <c r="H1" s="1874"/>
      <c r="I1" s="1874"/>
      <c r="J1" s="1874"/>
      <c r="K1" s="1874"/>
      <c r="L1" s="1874"/>
      <c r="M1" s="1874"/>
      <c r="N1" s="1874"/>
      <c r="O1" s="1874"/>
      <c r="P1" s="1874"/>
    </row>
    <row r="2" spans="2:14" ht="12.75" customHeight="1">
      <c r="B2" s="1886" t="s">
        <v>528</v>
      </c>
      <c r="C2" s="1886"/>
      <c r="D2" s="1886"/>
      <c r="E2" s="1886"/>
      <c r="F2" s="1886"/>
      <c r="G2" s="1886"/>
      <c r="H2" s="1886"/>
      <c r="I2" s="1886"/>
      <c r="J2" s="1886"/>
      <c r="K2" s="1886"/>
      <c r="L2" s="1886"/>
      <c r="M2" s="1886"/>
      <c r="N2" s="647"/>
    </row>
    <row r="3" spans="2:14" ht="15.75" customHeight="1">
      <c r="B3" s="1874" t="s">
        <v>529</v>
      </c>
      <c r="C3" s="1874"/>
      <c r="D3" s="1874"/>
      <c r="E3" s="1874"/>
      <c r="F3" s="1874"/>
      <c r="G3" s="1874"/>
      <c r="H3" s="1874"/>
      <c r="I3" s="1874"/>
      <c r="J3" s="647"/>
      <c r="K3" s="647"/>
      <c r="L3" s="647"/>
      <c r="M3" s="647"/>
      <c r="N3" s="647"/>
    </row>
    <row r="4" spans="8:17" s="648" customFormat="1" ht="1.5" customHeight="1">
      <c r="H4" s="649"/>
      <c r="Q4" s="650"/>
    </row>
    <row r="5" spans="2:16" ht="11.25" customHeight="1">
      <c r="B5" s="684" t="s">
        <v>530</v>
      </c>
      <c r="C5" s="1884" t="s">
        <v>531</v>
      </c>
      <c r="D5" s="1884"/>
      <c r="E5" s="1884"/>
      <c r="F5" s="1884"/>
      <c r="G5" s="1884"/>
      <c r="H5" s="1884"/>
      <c r="I5" s="1884"/>
      <c r="J5" s="685"/>
      <c r="K5" s="685"/>
      <c r="L5" s="685"/>
      <c r="M5" s="685"/>
      <c r="N5" s="685"/>
      <c r="O5" s="685"/>
      <c r="P5" s="685"/>
    </row>
    <row r="6" spans="2:17" s="648" customFormat="1" ht="1.5" customHeight="1">
      <c r="B6" s="686"/>
      <c r="C6" s="686"/>
      <c r="D6" s="686"/>
      <c r="E6" s="686"/>
      <c r="F6" s="686"/>
      <c r="G6" s="686"/>
      <c r="H6" s="687"/>
      <c r="I6" s="686"/>
      <c r="J6" s="686"/>
      <c r="K6" s="686"/>
      <c r="L6" s="686"/>
      <c r="M6" s="686"/>
      <c r="N6" s="686"/>
      <c r="O6" s="686"/>
      <c r="P6" s="686"/>
      <c r="Q6" s="650"/>
    </row>
    <row r="7" spans="2:16" ht="11.25" customHeight="1">
      <c r="B7" s="684" t="s">
        <v>532</v>
      </c>
      <c r="C7" s="1884" t="s">
        <v>533</v>
      </c>
      <c r="D7" s="1884"/>
      <c r="E7" s="1884"/>
      <c r="F7" s="1884"/>
      <c r="G7" s="1884"/>
      <c r="H7" s="1884"/>
      <c r="I7" s="1884"/>
      <c r="J7" s="685"/>
      <c r="K7" s="685"/>
      <c r="L7" s="685"/>
      <c r="M7" s="685"/>
      <c r="N7" s="685"/>
      <c r="O7" s="685"/>
      <c r="P7" s="685"/>
    </row>
    <row r="8" spans="2:17" s="648" customFormat="1" ht="1.5" customHeight="1">
      <c r="B8" s="703"/>
      <c r="C8" s="703"/>
      <c r="D8" s="703"/>
      <c r="E8" s="703"/>
      <c r="F8" s="703"/>
      <c r="G8" s="703"/>
      <c r="H8" s="704"/>
      <c r="I8" s="703"/>
      <c r="J8" s="703"/>
      <c r="K8" s="703"/>
      <c r="L8" s="703"/>
      <c r="M8" s="703"/>
      <c r="N8" s="703"/>
      <c r="Q8" s="650"/>
    </row>
    <row r="9" spans="2:17" s="659" customFormat="1" ht="28.5" customHeight="1">
      <c r="B9" s="1880" t="s">
        <v>534</v>
      </c>
      <c r="C9" s="1880"/>
      <c r="D9" s="1880" t="s">
        <v>535</v>
      </c>
      <c r="E9" s="1880"/>
      <c r="F9" s="1880"/>
      <c r="G9" s="688" t="s">
        <v>536</v>
      </c>
      <c r="H9" s="1876" t="s">
        <v>537</v>
      </c>
      <c r="I9" s="688"/>
      <c r="J9" s="688"/>
      <c r="K9" s="688"/>
      <c r="L9" s="1880" t="s">
        <v>538</v>
      </c>
      <c r="M9" s="1880"/>
      <c r="N9" s="1880"/>
      <c r="O9" s="1875" t="s">
        <v>846</v>
      </c>
      <c r="P9" s="1875"/>
      <c r="Q9" s="658"/>
    </row>
    <row r="10" spans="2:17" s="659" customFormat="1" ht="36.75" customHeight="1">
      <c r="B10" s="1880"/>
      <c r="C10" s="1880"/>
      <c r="D10" s="688" t="s">
        <v>539</v>
      </c>
      <c r="E10" s="688" t="s">
        <v>540</v>
      </c>
      <c r="F10" s="688" t="s">
        <v>541</v>
      </c>
      <c r="G10" s="688" t="s">
        <v>542</v>
      </c>
      <c r="H10" s="1876"/>
      <c r="I10" s="1880" t="s">
        <v>543</v>
      </c>
      <c r="J10" s="1880"/>
      <c r="K10" s="688" t="s">
        <v>544</v>
      </c>
      <c r="L10" s="688" t="s">
        <v>539</v>
      </c>
      <c r="M10" s="688" t="s">
        <v>540</v>
      </c>
      <c r="N10" s="688" t="s">
        <v>541</v>
      </c>
      <c r="O10" s="1026" t="s">
        <v>845</v>
      </c>
      <c r="P10" s="1026" t="s">
        <v>847</v>
      </c>
      <c r="Q10" s="658"/>
    </row>
    <row r="11" spans="2:17" ht="21" customHeight="1" collapsed="1">
      <c r="B11" s="1881" t="s">
        <v>545</v>
      </c>
      <c r="C11" s="1881"/>
      <c r="D11" s="689">
        <v>177966.1</v>
      </c>
      <c r="E11" s="689">
        <v>70019.52</v>
      </c>
      <c r="F11" s="689">
        <v>107946.58</v>
      </c>
      <c r="G11" s="689"/>
      <c r="H11" s="689">
        <v>2917.48</v>
      </c>
      <c r="I11" s="689"/>
      <c r="J11" s="689"/>
      <c r="K11" s="689"/>
      <c r="L11" s="689">
        <v>177966.1</v>
      </c>
      <c r="M11" s="689">
        <v>72937</v>
      </c>
      <c r="N11" s="1027">
        <v>105029.1</v>
      </c>
      <c r="O11" s="700">
        <f>O14</f>
        <v>35009.76</v>
      </c>
      <c r="P11" s="676">
        <f>P14</f>
        <v>72936.82</v>
      </c>
      <c r="Q11" s="1049"/>
    </row>
    <row r="12" spans="2:17" ht="12" customHeight="1" hidden="1" outlineLevel="1">
      <c r="B12" s="1877" t="s">
        <v>546</v>
      </c>
      <c r="C12" s="1877"/>
      <c r="D12" s="690">
        <v>177966.1</v>
      </c>
      <c r="E12" s="690">
        <v>70019.52</v>
      </c>
      <c r="F12" s="690">
        <v>107946.58</v>
      </c>
      <c r="G12" s="691"/>
      <c r="H12" s="690">
        <v>2917.48</v>
      </c>
      <c r="I12" s="691"/>
      <c r="J12" s="691"/>
      <c r="K12" s="691"/>
      <c r="L12" s="690">
        <v>177966.1</v>
      </c>
      <c r="M12" s="690">
        <v>72937</v>
      </c>
      <c r="N12" s="693">
        <v>105029.1</v>
      </c>
      <c r="O12" s="696">
        <f>H12*12</f>
        <v>35009.76</v>
      </c>
      <c r="P12" s="697">
        <f aca="true" t="shared" si="0" ref="P12:P75">F12-O12</f>
        <v>72936.82</v>
      </c>
      <c r="Q12" s="1049"/>
    </row>
    <row r="13" spans="2:17" ht="12" customHeight="1" hidden="1" outlineLevel="2">
      <c r="B13" s="1878" t="s">
        <v>547</v>
      </c>
      <c r="C13" s="1878"/>
      <c r="D13" s="690">
        <v>177966.1</v>
      </c>
      <c r="E13" s="690">
        <v>70019.52</v>
      </c>
      <c r="F13" s="690">
        <v>107946.58</v>
      </c>
      <c r="G13" s="691"/>
      <c r="H13" s="690">
        <v>2917.48</v>
      </c>
      <c r="I13" s="691"/>
      <c r="J13" s="691"/>
      <c r="K13" s="691"/>
      <c r="L13" s="690">
        <v>177966.1</v>
      </c>
      <c r="M13" s="690">
        <v>72937</v>
      </c>
      <c r="N13" s="693">
        <v>105029.1</v>
      </c>
      <c r="O13" s="698">
        <f>H13*12</f>
        <v>35009.76</v>
      </c>
      <c r="P13" s="699">
        <f t="shared" si="0"/>
        <v>72936.82</v>
      </c>
      <c r="Q13" s="1049"/>
    </row>
    <row r="14" spans="2:18" ht="21" customHeight="1" hidden="1" outlineLevel="3">
      <c r="B14" s="1885"/>
      <c r="C14" s="1885"/>
      <c r="D14" s="690">
        <v>177966.1</v>
      </c>
      <c r="E14" s="690">
        <v>70019.52</v>
      </c>
      <c r="F14" s="690">
        <v>107946.58</v>
      </c>
      <c r="G14" s="691"/>
      <c r="H14" s="690">
        <v>2917.48</v>
      </c>
      <c r="I14" s="691"/>
      <c r="J14" s="691"/>
      <c r="K14" s="691"/>
      <c r="L14" s="690">
        <v>177966.1</v>
      </c>
      <c r="M14" s="690">
        <v>72937</v>
      </c>
      <c r="N14" s="693">
        <v>105029.1</v>
      </c>
      <c r="O14" s="698">
        <f>H14*12</f>
        <v>35009.76</v>
      </c>
      <c r="P14" s="699">
        <f t="shared" si="0"/>
        <v>72936.82</v>
      </c>
      <c r="Q14" s="1049"/>
      <c r="R14" s="651" t="s">
        <v>548</v>
      </c>
    </row>
    <row r="15" spans="2:18" ht="48.75" customHeight="1" hidden="1" outlineLevel="4">
      <c r="B15" s="1850" t="s">
        <v>549</v>
      </c>
      <c r="C15" s="1850"/>
      <c r="D15" s="690">
        <v>177966.1</v>
      </c>
      <c r="E15" s="690">
        <v>70019.52</v>
      </c>
      <c r="F15" s="690">
        <v>107946.58</v>
      </c>
      <c r="G15" s="691"/>
      <c r="H15" s="690">
        <v>2917.48</v>
      </c>
      <c r="I15" s="691"/>
      <c r="J15" s="691"/>
      <c r="K15" s="691"/>
      <c r="L15" s="690">
        <v>177966.1</v>
      </c>
      <c r="M15" s="690">
        <v>72937</v>
      </c>
      <c r="N15" s="693">
        <v>105029.1</v>
      </c>
      <c r="O15" s="698">
        <f>H15*12</f>
        <v>35009.76</v>
      </c>
      <c r="P15" s="699">
        <f t="shared" si="0"/>
        <v>72936.82</v>
      </c>
      <c r="Q15" s="1049">
        <f>H15*12</f>
        <v>35009.76</v>
      </c>
      <c r="R15" s="651"/>
    </row>
    <row r="16" spans="2:18" ht="36.75" customHeight="1" collapsed="1">
      <c r="B16" s="1880" t="s">
        <v>344</v>
      </c>
      <c r="C16" s="1880"/>
      <c r="D16" s="689">
        <v>12450</v>
      </c>
      <c r="E16" s="689">
        <v>11604.21</v>
      </c>
      <c r="F16" s="1028">
        <v>845.79</v>
      </c>
      <c r="G16" s="1029"/>
      <c r="H16" s="1028">
        <v>85.27</v>
      </c>
      <c r="I16" s="1029"/>
      <c r="J16" s="1029"/>
      <c r="K16" s="1029"/>
      <c r="L16" s="689">
        <v>12450</v>
      </c>
      <c r="M16" s="689">
        <v>11689.48</v>
      </c>
      <c r="N16" s="1030">
        <v>760.52</v>
      </c>
      <c r="O16" s="700">
        <f>F16</f>
        <v>845.79</v>
      </c>
      <c r="P16" s="701">
        <f t="shared" si="0"/>
        <v>0</v>
      </c>
      <c r="Q16" s="1050">
        <v>3</v>
      </c>
      <c r="R16" s="651" t="s">
        <v>550</v>
      </c>
    </row>
    <row r="17" spans="2:18" ht="12" customHeight="1" hidden="1" outlineLevel="1">
      <c r="B17" s="1877" t="s">
        <v>546</v>
      </c>
      <c r="C17" s="1877"/>
      <c r="D17" s="690">
        <v>12450</v>
      </c>
      <c r="E17" s="690">
        <v>11604.21</v>
      </c>
      <c r="F17" s="692">
        <v>845.79</v>
      </c>
      <c r="G17" s="691"/>
      <c r="H17" s="692">
        <v>85.27</v>
      </c>
      <c r="I17" s="691"/>
      <c r="J17" s="691"/>
      <c r="K17" s="691"/>
      <c r="L17" s="690">
        <v>12450</v>
      </c>
      <c r="M17" s="690">
        <v>11689.48</v>
      </c>
      <c r="N17" s="694">
        <v>760.52</v>
      </c>
      <c r="O17" s="698">
        <f aca="true" t="shared" si="1" ref="O17:O80">H17*12</f>
        <v>1023.24</v>
      </c>
      <c r="P17" s="699">
        <f t="shared" si="0"/>
        <v>-177.45000000000005</v>
      </c>
      <c r="Q17" s="1049"/>
      <c r="R17" s="651"/>
    </row>
    <row r="18" spans="2:18" ht="12" customHeight="1" hidden="1" outlineLevel="2">
      <c r="B18" s="1878" t="s">
        <v>547</v>
      </c>
      <c r="C18" s="1878"/>
      <c r="D18" s="690">
        <v>12450</v>
      </c>
      <c r="E18" s="690">
        <v>11604.21</v>
      </c>
      <c r="F18" s="692">
        <v>845.79</v>
      </c>
      <c r="G18" s="691"/>
      <c r="H18" s="692">
        <v>85.27</v>
      </c>
      <c r="I18" s="691"/>
      <c r="J18" s="691"/>
      <c r="K18" s="691"/>
      <c r="L18" s="690">
        <v>12450</v>
      </c>
      <c r="M18" s="690">
        <v>11689.48</v>
      </c>
      <c r="N18" s="694">
        <v>760.52</v>
      </c>
      <c r="O18" s="698">
        <f t="shared" si="1"/>
        <v>1023.24</v>
      </c>
      <c r="P18" s="699">
        <f t="shared" si="0"/>
        <v>-177.45000000000005</v>
      </c>
      <c r="Q18" s="1049"/>
      <c r="R18" s="651"/>
    </row>
    <row r="19" spans="2:18" ht="34.5" customHeight="1" hidden="1" outlineLevel="3">
      <c r="B19" s="1879" t="s">
        <v>344</v>
      </c>
      <c r="C19" s="1879"/>
      <c r="D19" s="690">
        <v>12450</v>
      </c>
      <c r="E19" s="690">
        <v>11604.21</v>
      </c>
      <c r="F19" s="692">
        <v>845.79</v>
      </c>
      <c r="G19" s="691"/>
      <c r="H19" s="692">
        <v>85.27</v>
      </c>
      <c r="I19" s="691"/>
      <c r="J19" s="691"/>
      <c r="K19" s="691"/>
      <c r="L19" s="690">
        <v>12450</v>
      </c>
      <c r="M19" s="690">
        <v>11689.48</v>
      </c>
      <c r="N19" s="694">
        <v>760.52</v>
      </c>
      <c r="O19" s="698">
        <f t="shared" si="1"/>
        <v>1023.24</v>
      </c>
      <c r="P19" s="699">
        <f t="shared" si="0"/>
        <v>-177.45000000000005</v>
      </c>
      <c r="Q19" s="1049"/>
      <c r="R19" s="651"/>
    </row>
    <row r="20" spans="2:18" ht="34.5" customHeight="1" hidden="1" outlineLevel="4">
      <c r="B20" s="1850" t="s">
        <v>518</v>
      </c>
      <c r="C20" s="1850"/>
      <c r="D20" s="690">
        <v>12450</v>
      </c>
      <c r="E20" s="690">
        <v>11604.21</v>
      </c>
      <c r="F20" s="692">
        <v>845.79</v>
      </c>
      <c r="G20" s="691"/>
      <c r="H20" s="692">
        <v>85.27</v>
      </c>
      <c r="I20" s="691"/>
      <c r="J20" s="691"/>
      <c r="K20" s="691"/>
      <c r="L20" s="690">
        <v>12450</v>
      </c>
      <c r="M20" s="690">
        <v>11689.48</v>
      </c>
      <c r="N20" s="694">
        <v>760.52</v>
      </c>
      <c r="O20" s="698">
        <f t="shared" si="1"/>
        <v>1023.24</v>
      </c>
      <c r="P20" s="699">
        <f t="shared" si="0"/>
        <v>-177.45000000000005</v>
      </c>
      <c r="Q20" s="1049"/>
      <c r="R20" s="651"/>
    </row>
    <row r="21" spans="2:18" ht="36.75" customHeight="1" collapsed="1">
      <c r="B21" s="1857" t="s">
        <v>13</v>
      </c>
      <c r="C21" s="1857"/>
      <c r="D21" s="689">
        <f>SUM(D25:D142)</f>
        <v>16491379.68</v>
      </c>
      <c r="E21" s="689">
        <f aca="true" t="shared" si="2" ref="E21:O21">SUM(E25:E142)</f>
        <v>1895860.499999999</v>
      </c>
      <c r="F21" s="689">
        <f t="shared" si="2"/>
        <v>14595519.180000009</v>
      </c>
      <c r="G21" s="689">
        <f t="shared" si="2"/>
        <v>0</v>
      </c>
      <c r="H21" s="689">
        <f t="shared" si="2"/>
        <v>45595.99000000001</v>
      </c>
      <c r="I21" s="689">
        <f t="shared" si="2"/>
        <v>0</v>
      </c>
      <c r="J21" s="689">
        <f t="shared" si="2"/>
        <v>0</v>
      </c>
      <c r="K21" s="689">
        <f t="shared" si="2"/>
        <v>0</v>
      </c>
      <c r="L21" s="689">
        <f t="shared" si="2"/>
        <v>16491379.68</v>
      </c>
      <c r="M21" s="689">
        <f t="shared" si="2"/>
        <v>1941456.4899999986</v>
      </c>
      <c r="N21" s="689">
        <f t="shared" si="2"/>
        <v>14549923.189999992</v>
      </c>
      <c r="O21" s="689">
        <f t="shared" si="2"/>
        <v>547151.8800000001</v>
      </c>
      <c r="P21" s="701">
        <f>F21-O21</f>
        <v>14048367.300000008</v>
      </c>
      <c r="Q21" s="1050">
        <v>1</v>
      </c>
      <c r="R21" s="651" t="s">
        <v>519</v>
      </c>
    </row>
    <row r="22" spans="2:18" ht="12" customHeight="1" hidden="1" outlineLevel="1">
      <c r="B22" s="1877" t="s">
        <v>546</v>
      </c>
      <c r="C22" s="1877"/>
      <c r="D22" s="690">
        <v>16491379.68</v>
      </c>
      <c r="E22" s="690">
        <v>1895860.5</v>
      </c>
      <c r="F22" s="690">
        <v>14595519.18</v>
      </c>
      <c r="G22" s="691"/>
      <c r="H22" s="690">
        <v>45595.99</v>
      </c>
      <c r="I22" s="691"/>
      <c r="J22" s="691"/>
      <c r="K22" s="691"/>
      <c r="L22" s="690">
        <v>16491379.68</v>
      </c>
      <c r="M22" s="690">
        <v>1941456.49</v>
      </c>
      <c r="N22" s="693">
        <v>14549923.19</v>
      </c>
      <c r="O22" s="698">
        <f t="shared" si="1"/>
        <v>547151.88</v>
      </c>
      <c r="P22" s="699">
        <f t="shared" si="0"/>
        <v>14048367.299999999</v>
      </c>
      <c r="Q22" s="1050"/>
      <c r="R22" s="651"/>
    </row>
    <row r="23" spans="2:18" ht="12" customHeight="1" hidden="1" outlineLevel="2">
      <c r="B23" s="1878" t="s">
        <v>547</v>
      </c>
      <c r="C23" s="1878"/>
      <c r="D23" s="690">
        <v>16491379.68</v>
      </c>
      <c r="E23" s="690">
        <v>1895860.5</v>
      </c>
      <c r="F23" s="690">
        <v>14595519.18</v>
      </c>
      <c r="G23" s="691"/>
      <c r="H23" s="690">
        <v>45595.99</v>
      </c>
      <c r="I23" s="691"/>
      <c r="J23" s="691"/>
      <c r="K23" s="691"/>
      <c r="L23" s="690">
        <v>16491379.68</v>
      </c>
      <c r="M23" s="690">
        <v>1941456.49</v>
      </c>
      <c r="N23" s="693">
        <v>14549923.19</v>
      </c>
      <c r="O23" s="698">
        <f t="shared" si="1"/>
        <v>547151.88</v>
      </c>
      <c r="P23" s="699">
        <f t="shared" si="0"/>
        <v>14048367.299999999</v>
      </c>
      <c r="Q23" s="1050"/>
      <c r="R23" s="651"/>
    </row>
    <row r="24" spans="2:18" ht="45.75" customHeight="1" hidden="1" outlineLevel="3">
      <c r="B24" s="1879" t="s">
        <v>13</v>
      </c>
      <c r="C24" s="1879"/>
      <c r="D24" s="690">
        <v>16491379.68</v>
      </c>
      <c r="E24" s="690">
        <v>1895860.5</v>
      </c>
      <c r="F24" s="690">
        <v>14595519.18</v>
      </c>
      <c r="G24" s="691"/>
      <c r="H24" s="690">
        <v>45595.99</v>
      </c>
      <c r="I24" s="691"/>
      <c r="J24" s="691"/>
      <c r="K24" s="691"/>
      <c r="L24" s="690">
        <v>16491379.68</v>
      </c>
      <c r="M24" s="690">
        <v>1941456.49</v>
      </c>
      <c r="N24" s="693">
        <v>14549923.19</v>
      </c>
      <c r="O24" s="698">
        <f t="shared" si="1"/>
        <v>547151.88</v>
      </c>
      <c r="P24" s="699">
        <f t="shared" si="0"/>
        <v>14048367.299999999</v>
      </c>
      <c r="Q24" s="1050"/>
      <c r="R24" s="651"/>
    </row>
    <row r="25" spans="2:18" ht="68.25" customHeight="1" hidden="1" outlineLevel="4">
      <c r="B25" s="1850" t="s">
        <v>520</v>
      </c>
      <c r="C25" s="1850"/>
      <c r="D25" s="690">
        <v>9105386.75</v>
      </c>
      <c r="E25" s="690">
        <v>1135020.6</v>
      </c>
      <c r="F25" s="690">
        <v>7970366.15</v>
      </c>
      <c r="G25" s="691"/>
      <c r="H25" s="690">
        <v>25222.68</v>
      </c>
      <c r="I25" s="691"/>
      <c r="J25" s="691"/>
      <c r="K25" s="691"/>
      <c r="L25" s="690">
        <v>9105386.75</v>
      </c>
      <c r="M25" s="690">
        <v>1160243.28</v>
      </c>
      <c r="N25" s="693">
        <v>7945143.47</v>
      </c>
      <c r="O25" s="698">
        <f t="shared" si="1"/>
        <v>302672.16000000003</v>
      </c>
      <c r="P25" s="699">
        <f t="shared" si="0"/>
        <v>7667693.99</v>
      </c>
      <c r="Q25" s="1050"/>
      <c r="R25" s="651"/>
    </row>
    <row r="26" spans="2:18" ht="45.75" customHeight="1" hidden="1" outlineLevel="4">
      <c r="B26" s="1850" t="s">
        <v>521</v>
      </c>
      <c r="C26" s="1850"/>
      <c r="D26" s="690">
        <v>74260</v>
      </c>
      <c r="E26" s="690">
        <v>9256.95</v>
      </c>
      <c r="F26" s="690">
        <v>65003.05</v>
      </c>
      <c r="G26" s="691"/>
      <c r="H26" s="692">
        <v>205.71</v>
      </c>
      <c r="I26" s="691"/>
      <c r="J26" s="691"/>
      <c r="K26" s="691"/>
      <c r="L26" s="690">
        <v>74260</v>
      </c>
      <c r="M26" s="690">
        <v>9462.66</v>
      </c>
      <c r="N26" s="693">
        <v>64797.34</v>
      </c>
      <c r="O26" s="698">
        <f t="shared" si="1"/>
        <v>2468.52</v>
      </c>
      <c r="P26" s="699">
        <f t="shared" si="0"/>
        <v>62534.530000000006</v>
      </c>
      <c r="Q26" s="1050"/>
      <c r="R26" s="651"/>
    </row>
    <row r="27" spans="2:18" ht="57" customHeight="1" hidden="1" outlineLevel="4">
      <c r="B27" s="1850" t="s">
        <v>522</v>
      </c>
      <c r="C27" s="1850"/>
      <c r="D27" s="690">
        <v>124753</v>
      </c>
      <c r="E27" s="690">
        <v>15551.1</v>
      </c>
      <c r="F27" s="690">
        <v>109201.9</v>
      </c>
      <c r="G27" s="691"/>
      <c r="H27" s="692">
        <v>345.58</v>
      </c>
      <c r="I27" s="691"/>
      <c r="J27" s="691"/>
      <c r="K27" s="691"/>
      <c r="L27" s="690">
        <v>124753</v>
      </c>
      <c r="M27" s="690">
        <v>15896.68</v>
      </c>
      <c r="N27" s="693">
        <v>108856.32</v>
      </c>
      <c r="O27" s="698">
        <f t="shared" si="1"/>
        <v>4146.96</v>
      </c>
      <c r="P27" s="699">
        <f t="shared" si="0"/>
        <v>105054.93999999999</v>
      </c>
      <c r="Q27" s="1050"/>
      <c r="R27" s="651"/>
    </row>
    <row r="28" spans="2:18" ht="57" customHeight="1" hidden="1" outlineLevel="4">
      <c r="B28" s="1850" t="s">
        <v>523</v>
      </c>
      <c r="C28" s="1850"/>
      <c r="D28" s="690">
        <v>78156</v>
      </c>
      <c r="E28" s="690">
        <v>9742.5</v>
      </c>
      <c r="F28" s="690">
        <v>68413.5</v>
      </c>
      <c r="G28" s="691"/>
      <c r="H28" s="692">
        <v>216.5</v>
      </c>
      <c r="I28" s="691"/>
      <c r="J28" s="691"/>
      <c r="K28" s="691"/>
      <c r="L28" s="690">
        <v>78156</v>
      </c>
      <c r="M28" s="690">
        <v>9959</v>
      </c>
      <c r="N28" s="693">
        <v>68197</v>
      </c>
      <c r="O28" s="698">
        <f t="shared" si="1"/>
        <v>2598</v>
      </c>
      <c r="P28" s="699">
        <f t="shared" si="0"/>
        <v>65815.5</v>
      </c>
      <c r="Q28" s="1050"/>
      <c r="R28" s="651"/>
    </row>
    <row r="29" spans="2:18" ht="45.75" customHeight="1" hidden="1" outlineLevel="4">
      <c r="B29" s="1850" t="s">
        <v>524</v>
      </c>
      <c r="C29" s="1850"/>
      <c r="D29" s="690">
        <v>161735</v>
      </c>
      <c r="E29" s="690">
        <v>20160.9</v>
      </c>
      <c r="F29" s="690">
        <v>141574.1</v>
      </c>
      <c r="G29" s="691"/>
      <c r="H29" s="692">
        <v>448.02</v>
      </c>
      <c r="I29" s="691"/>
      <c r="J29" s="691"/>
      <c r="K29" s="691"/>
      <c r="L29" s="690">
        <v>161735</v>
      </c>
      <c r="M29" s="690">
        <v>20608.92</v>
      </c>
      <c r="N29" s="693">
        <v>141126.08</v>
      </c>
      <c r="O29" s="698">
        <f t="shared" si="1"/>
        <v>5376.24</v>
      </c>
      <c r="P29" s="699">
        <f t="shared" si="0"/>
        <v>136197.86000000002</v>
      </c>
      <c r="Q29" s="1050"/>
      <c r="R29" s="651"/>
    </row>
    <row r="30" spans="2:18" ht="68.25" customHeight="1" hidden="1" outlineLevel="4">
      <c r="B30" s="1850" t="s">
        <v>525</v>
      </c>
      <c r="C30" s="1850"/>
      <c r="D30" s="690">
        <v>170611</v>
      </c>
      <c r="E30" s="690">
        <v>21267.45</v>
      </c>
      <c r="F30" s="690">
        <v>149343.55</v>
      </c>
      <c r="G30" s="691"/>
      <c r="H30" s="692">
        <v>472.61</v>
      </c>
      <c r="I30" s="691"/>
      <c r="J30" s="691"/>
      <c r="K30" s="691"/>
      <c r="L30" s="690">
        <v>170611</v>
      </c>
      <c r="M30" s="690">
        <v>21740.06</v>
      </c>
      <c r="N30" s="693">
        <v>148870.94</v>
      </c>
      <c r="O30" s="698">
        <f t="shared" si="1"/>
        <v>5671.32</v>
      </c>
      <c r="P30" s="699">
        <f t="shared" si="0"/>
        <v>143672.22999999998</v>
      </c>
      <c r="Q30" s="1050"/>
      <c r="R30" s="651"/>
    </row>
    <row r="31" spans="2:18" ht="68.25" customHeight="1" hidden="1" outlineLevel="4">
      <c r="B31" s="1850" t="s">
        <v>526</v>
      </c>
      <c r="C31" s="1850"/>
      <c r="D31" s="690">
        <v>239151</v>
      </c>
      <c r="E31" s="690">
        <v>29811.15</v>
      </c>
      <c r="F31" s="690">
        <v>209339.85</v>
      </c>
      <c r="G31" s="691"/>
      <c r="H31" s="692">
        <v>662.47</v>
      </c>
      <c r="I31" s="691"/>
      <c r="J31" s="691"/>
      <c r="K31" s="691"/>
      <c r="L31" s="690">
        <v>239151</v>
      </c>
      <c r="M31" s="690">
        <v>30473.62</v>
      </c>
      <c r="N31" s="693">
        <v>208677.38</v>
      </c>
      <c r="O31" s="698">
        <f t="shared" si="1"/>
        <v>7949.64</v>
      </c>
      <c r="P31" s="699">
        <f t="shared" si="0"/>
        <v>201390.21</v>
      </c>
      <c r="Q31" s="1050"/>
      <c r="R31" s="651"/>
    </row>
    <row r="32" spans="2:18" ht="68.25" customHeight="1" hidden="1" outlineLevel="4">
      <c r="B32" s="1850" t="s">
        <v>527</v>
      </c>
      <c r="C32" s="1850"/>
      <c r="D32" s="690">
        <v>114398</v>
      </c>
      <c r="E32" s="690">
        <v>14260.05</v>
      </c>
      <c r="F32" s="690">
        <v>100137.95</v>
      </c>
      <c r="G32" s="691"/>
      <c r="H32" s="692">
        <v>316.89</v>
      </c>
      <c r="I32" s="691"/>
      <c r="J32" s="691"/>
      <c r="K32" s="691"/>
      <c r="L32" s="690">
        <v>114398</v>
      </c>
      <c r="M32" s="690">
        <v>14576.94</v>
      </c>
      <c r="N32" s="693">
        <v>99821.06</v>
      </c>
      <c r="O32" s="698">
        <f t="shared" si="1"/>
        <v>3802.68</v>
      </c>
      <c r="P32" s="699">
        <f t="shared" si="0"/>
        <v>96335.27</v>
      </c>
      <c r="Q32" s="1050"/>
      <c r="R32" s="651"/>
    </row>
    <row r="33" spans="2:18" ht="57" customHeight="1" hidden="1" outlineLevel="4">
      <c r="B33" s="1850" t="s">
        <v>237</v>
      </c>
      <c r="C33" s="1850"/>
      <c r="D33" s="690">
        <v>180078</v>
      </c>
      <c r="E33" s="690">
        <v>22447.35</v>
      </c>
      <c r="F33" s="690">
        <v>157630.65</v>
      </c>
      <c r="G33" s="691"/>
      <c r="H33" s="692">
        <v>498.83</v>
      </c>
      <c r="I33" s="691"/>
      <c r="J33" s="691"/>
      <c r="K33" s="691"/>
      <c r="L33" s="690">
        <v>180078</v>
      </c>
      <c r="M33" s="690">
        <v>22946.18</v>
      </c>
      <c r="N33" s="693">
        <v>157131.82</v>
      </c>
      <c r="O33" s="698">
        <f t="shared" si="1"/>
        <v>5985.96</v>
      </c>
      <c r="P33" s="699">
        <f t="shared" si="0"/>
        <v>151644.69</v>
      </c>
      <c r="Q33" s="1050"/>
      <c r="R33" s="651"/>
    </row>
    <row r="34" spans="2:18" ht="57" customHeight="1" hidden="1" outlineLevel="4">
      <c r="B34" s="1850" t="s">
        <v>1270</v>
      </c>
      <c r="C34" s="1850"/>
      <c r="D34" s="690">
        <v>1782879.63</v>
      </c>
      <c r="E34" s="690">
        <v>121859.45</v>
      </c>
      <c r="F34" s="690">
        <v>1661020.18</v>
      </c>
      <c r="G34" s="691"/>
      <c r="H34" s="690">
        <v>4899.76</v>
      </c>
      <c r="I34" s="691"/>
      <c r="J34" s="691"/>
      <c r="K34" s="691"/>
      <c r="L34" s="690">
        <v>1782879.63</v>
      </c>
      <c r="M34" s="690">
        <v>126759.21</v>
      </c>
      <c r="N34" s="693">
        <v>1656120.42</v>
      </c>
      <c r="O34" s="698">
        <f t="shared" si="1"/>
        <v>58797.12</v>
      </c>
      <c r="P34" s="699">
        <f t="shared" si="0"/>
        <v>1602223.0599999998</v>
      </c>
      <c r="Q34" s="1050"/>
      <c r="R34" s="651"/>
    </row>
    <row r="35" spans="2:18" ht="68.25" customHeight="1" hidden="1" outlineLevel="4">
      <c r="B35" s="1850" t="s">
        <v>1271</v>
      </c>
      <c r="C35" s="1850"/>
      <c r="D35" s="690">
        <v>158385.85</v>
      </c>
      <c r="E35" s="690">
        <v>19743.3</v>
      </c>
      <c r="F35" s="690">
        <v>138642.55</v>
      </c>
      <c r="G35" s="691"/>
      <c r="H35" s="692">
        <v>438.74</v>
      </c>
      <c r="I35" s="691"/>
      <c r="J35" s="691"/>
      <c r="K35" s="691"/>
      <c r="L35" s="690">
        <v>158385.85</v>
      </c>
      <c r="M35" s="690">
        <v>20182.04</v>
      </c>
      <c r="N35" s="693">
        <v>138203.81</v>
      </c>
      <c r="O35" s="698">
        <f t="shared" si="1"/>
        <v>5264.88</v>
      </c>
      <c r="P35" s="699">
        <f t="shared" si="0"/>
        <v>133377.66999999998</v>
      </c>
      <c r="Q35" s="1050"/>
      <c r="R35" s="651"/>
    </row>
    <row r="36" spans="2:18" ht="57" customHeight="1" hidden="1" outlineLevel="4">
      <c r="B36" s="1850" t="s">
        <v>1272</v>
      </c>
      <c r="C36" s="1850"/>
      <c r="D36" s="690">
        <v>108046</v>
      </c>
      <c r="E36" s="690">
        <v>13468.5</v>
      </c>
      <c r="F36" s="690">
        <v>94577.5</v>
      </c>
      <c r="G36" s="691"/>
      <c r="H36" s="692">
        <v>299.3</v>
      </c>
      <c r="I36" s="691"/>
      <c r="J36" s="691"/>
      <c r="K36" s="691"/>
      <c r="L36" s="690">
        <v>108046</v>
      </c>
      <c r="M36" s="690">
        <v>13767.8</v>
      </c>
      <c r="N36" s="693">
        <v>94278.2</v>
      </c>
      <c r="O36" s="698">
        <f t="shared" si="1"/>
        <v>3591.6000000000004</v>
      </c>
      <c r="P36" s="699">
        <f t="shared" si="0"/>
        <v>90985.9</v>
      </c>
      <c r="Q36" s="1050"/>
      <c r="R36" s="651"/>
    </row>
    <row r="37" spans="2:18" ht="68.25" customHeight="1" hidden="1" outlineLevel="4">
      <c r="B37" s="1850" t="s">
        <v>1273</v>
      </c>
      <c r="C37" s="1850"/>
      <c r="D37" s="690">
        <v>64153.9</v>
      </c>
      <c r="E37" s="690">
        <v>7185.46</v>
      </c>
      <c r="F37" s="690">
        <v>56968.44</v>
      </c>
      <c r="G37" s="691"/>
      <c r="H37" s="692">
        <v>179.22</v>
      </c>
      <c r="I37" s="691"/>
      <c r="J37" s="691"/>
      <c r="K37" s="691"/>
      <c r="L37" s="690">
        <v>64153.9</v>
      </c>
      <c r="M37" s="690">
        <v>7364.68</v>
      </c>
      <c r="N37" s="693">
        <v>56789.22</v>
      </c>
      <c r="O37" s="698">
        <f t="shared" si="1"/>
        <v>2150.64</v>
      </c>
      <c r="P37" s="699">
        <f t="shared" si="0"/>
        <v>54817.8</v>
      </c>
      <c r="Q37" s="1050"/>
      <c r="R37" s="651"/>
    </row>
    <row r="38" spans="2:18" ht="57" customHeight="1" hidden="1" outlineLevel="4">
      <c r="B38" s="1850" t="s">
        <v>1274</v>
      </c>
      <c r="C38" s="1850"/>
      <c r="D38" s="690">
        <v>20947</v>
      </c>
      <c r="E38" s="690">
        <v>2610.9</v>
      </c>
      <c r="F38" s="690">
        <v>18336.1</v>
      </c>
      <c r="G38" s="691"/>
      <c r="H38" s="692">
        <v>58.02</v>
      </c>
      <c r="I38" s="691"/>
      <c r="J38" s="691"/>
      <c r="K38" s="691"/>
      <c r="L38" s="690">
        <v>20947</v>
      </c>
      <c r="M38" s="690">
        <v>2668.92</v>
      </c>
      <c r="N38" s="693">
        <v>18278.08</v>
      </c>
      <c r="O38" s="698">
        <f t="shared" si="1"/>
        <v>696.24</v>
      </c>
      <c r="P38" s="699">
        <f t="shared" si="0"/>
        <v>17639.859999999997</v>
      </c>
      <c r="Q38" s="1050"/>
      <c r="R38" s="651"/>
    </row>
    <row r="39" spans="2:18" ht="68.25" customHeight="1" hidden="1" outlineLevel="4">
      <c r="B39" s="1850" t="s">
        <v>1275</v>
      </c>
      <c r="C39" s="1850"/>
      <c r="D39" s="690">
        <v>7254</v>
      </c>
      <c r="E39" s="692">
        <v>904.05</v>
      </c>
      <c r="F39" s="690">
        <v>6349.95</v>
      </c>
      <c r="G39" s="691"/>
      <c r="H39" s="692">
        <v>20.09</v>
      </c>
      <c r="I39" s="691"/>
      <c r="J39" s="691"/>
      <c r="K39" s="691"/>
      <c r="L39" s="690">
        <v>7254</v>
      </c>
      <c r="M39" s="692">
        <v>924.14</v>
      </c>
      <c r="N39" s="693">
        <v>6329.86</v>
      </c>
      <c r="O39" s="698">
        <f t="shared" si="1"/>
        <v>241.07999999999998</v>
      </c>
      <c r="P39" s="699">
        <f t="shared" si="0"/>
        <v>6108.87</v>
      </c>
      <c r="Q39" s="1050"/>
      <c r="R39" s="651"/>
    </row>
    <row r="40" spans="2:18" ht="68.25" customHeight="1" hidden="1" outlineLevel="4">
      <c r="B40" s="1850" t="s">
        <v>1276</v>
      </c>
      <c r="C40" s="1850"/>
      <c r="D40" s="690">
        <v>35863</v>
      </c>
      <c r="E40" s="690">
        <v>4470.3</v>
      </c>
      <c r="F40" s="690">
        <v>31392.7</v>
      </c>
      <c r="G40" s="691"/>
      <c r="H40" s="692">
        <v>99.34</v>
      </c>
      <c r="I40" s="691"/>
      <c r="J40" s="691"/>
      <c r="K40" s="691"/>
      <c r="L40" s="690">
        <v>35863</v>
      </c>
      <c r="M40" s="690">
        <v>4569.64</v>
      </c>
      <c r="N40" s="693">
        <v>31293.36</v>
      </c>
      <c r="O40" s="698">
        <f t="shared" si="1"/>
        <v>1192.08</v>
      </c>
      <c r="P40" s="699">
        <f t="shared" si="0"/>
        <v>30200.620000000003</v>
      </c>
      <c r="Q40" s="1050"/>
      <c r="R40" s="651"/>
    </row>
    <row r="41" spans="2:18" ht="68.25" customHeight="1" hidden="1" outlineLevel="4">
      <c r="B41" s="1850" t="s">
        <v>1277</v>
      </c>
      <c r="C41" s="1850"/>
      <c r="D41" s="690">
        <v>33426</v>
      </c>
      <c r="E41" s="690">
        <v>4166.55</v>
      </c>
      <c r="F41" s="690">
        <v>29259.45</v>
      </c>
      <c r="G41" s="691"/>
      <c r="H41" s="692">
        <v>92.59</v>
      </c>
      <c r="I41" s="691"/>
      <c r="J41" s="691"/>
      <c r="K41" s="691"/>
      <c r="L41" s="690">
        <v>33426</v>
      </c>
      <c r="M41" s="690">
        <v>4259.14</v>
      </c>
      <c r="N41" s="693">
        <v>29166.86</v>
      </c>
      <c r="O41" s="698">
        <f t="shared" si="1"/>
        <v>1111.08</v>
      </c>
      <c r="P41" s="699">
        <f t="shared" si="0"/>
        <v>28148.370000000003</v>
      </c>
      <c r="Q41" s="1050"/>
      <c r="R41" s="651"/>
    </row>
    <row r="42" spans="2:18" ht="45.75" customHeight="1" hidden="1" outlineLevel="4">
      <c r="B42" s="1850" t="s">
        <v>1278</v>
      </c>
      <c r="C42" s="1850"/>
      <c r="D42" s="690">
        <v>14082</v>
      </c>
      <c r="E42" s="690">
        <v>1755.45</v>
      </c>
      <c r="F42" s="690">
        <v>12326.55</v>
      </c>
      <c r="G42" s="691"/>
      <c r="H42" s="692">
        <v>39.01</v>
      </c>
      <c r="I42" s="691"/>
      <c r="J42" s="691"/>
      <c r="K42" s="691"/>
      <c r="L42" s="690">
        <v>14082</v>
      </c>
      <c r="M42" s="690">
        <v>1794.46</v>
      </c>
      <c r="N42" s="693">
        <v>12287.54</v>
      </c>
      <c r="O42" s="698">
        <f t="shared" si="1"/>
        <v>468.12</v>
      </c>
      <c r="P42" s="699">
        <f t="shared" si="0"/>
        <v>11858.429999999998</v>
      </c>
      <c r="Q42" s="1050"/>
      <c r="R42" s="651"/>
    </row>
    <row r="43" spans="2:18" ht="68.25" customHeight="1" hidden="1" outlineLevel="4">
      <c r="B43" s="1850" t="s">
        <v>1279</v>
      </c>
      <c r="C43" s="1850"/>
      <c r="D43" s="690">
        <v>90322</v>
      </c>
      <c r="E43" s="690">
        <v>11259</v>
      </c>
      <c r="F43" s="690">
        <v>79063</v>
      </c>
      <c r="G43" s="691"/>
      <c r="H43" s="692">
        <v>250.2</v>
      </c>
      <c r="I43" s="691"/>
      <c r="J43" s="691"/>
      <c r="K43" s="691"/>
      <c r="L43" s="690">
        <v>90322</v>
      </c>
      <c r="M43" s="690">
        <v>11509.2</v>
      </c>
      <c r="N43" s="693">
        <v>78812.8</v>
      </c>
      <c r="O43" s="698">
        <f t="shared" si="1"/>
        <v>3002.3999999999996</v>
      </c>
      <c r="P43" s="699">
        <f t="shared" si="0"/>
        <v>76060.6</v>
      </c>
      <c r="Q43" s="1050"/>
      <c r="R43" s="651"/>
    </row>
    <row r="44" spans="2:18" ht="68.25" customHeight="1" hidden="1" outlineLevel="4">
      <c r="B44" s="1850" t="s">
        <v>1280</v>
      </c>
      <c r="C44" s="1850"/>
      <c r="D44" s="690">
        <v>59721</v>
      </c>
      <c r="E44" s="690">
        <v>7444.35</v>
      </c>
      <c r="F44" s="690">
        <v>52276.65</v>
      </c>
      <c r="G44" s="691"/>
      <c r="H44" s="692">
        <v>165.43</v>
      </c>
      <c r="I44" s="691"/>
      <c r="J44" s="691"/>
      <c r="K44" s="691"/>
      <c r="L44" s="690">
        <v>59721</v>
      </c>
      <c r="M44" s="690">
        <v>7609.78</v>
      </c>
      <c r="N44" s="693">
        <v>52111.22</v>
      </c>
      <c r="O44" s="698">
        <f t="shared" si="1"/>
        <v>1985.16</v>
      </c>
      <c r="P44" s="699">
        <f t="shared" si="0"/>
        <v>50291.49</v>
      </c>
      <c r="Q44" s="1050"/>
      <c r="R44" s="651"/>
    </row>
    <row r="45" spans="2:18" ht="57" customHeight="1" hidden="1" outlineLevel="4">
      <c r="B45" s="1850" t="s">
        <v>1281</v>
      </c>
      <c r="C45" s="1850"/>
      <c r="D45" s="690">
        <v>26741</v>
      </c>
      <c r="E45" s="690">
        <v>3333.15</v>
      </c>
      <c r="F45" s="690">
        <v>23407.85</v>
      </c>
      <c r="G45" s="691"/>
      <c r="H45" s="692">
        <v>74.07</v>
      </c>
      <c r="I45" s="691"/>
      <c r="J45" s="691"/>
      <c r="K45" s="691"/>
      <c r="L45" s="690">
        <v>26741</v>
      </c>
      <c r="M45" s="690">
        <v>3407.22</v>
      </c>
      <c r="N45" s="693">
        <v>23333.78</v>
      </c>
      <c r="O45" s="698">
        <f t="shared" si="1"/>
        <v>888.8399999999999</v>
      </c>
      <c r="P45" s="699">
        <f t="shared" si="0"/>
        <v>22519.01</v>
      </c>
      <c r="Q45" s="1050"/>
      <c r="R45" s="651"/>
    </row>
    <row r="46" spans="2:18" ht="79.5" customHeight="1" hidden="1" outlineLevel="4">
      <c r="B46" s="1850" t="s">
        <v>1282</v>
      </c>
      <c r="C46" s="1850"/>
      <c r="D46" s="690">
        <v>104171</v>
      </c>
      <c r="E46" s="690">
        <v>12985.2</v>
      </c>
      <c r="F46" s="690">
        <v>91185.8</v>
      </c>
      <c r="G46" s="691"/>
      <c r="H46" s="692">
        <v>288.56</v>
      </c>
      <c r="I46" s="691"/>
      <c r="J46" s="691"/>
      <c r="K46" s="691"/>
      <c r="L46" s="690">
        <v>104171</v>
      </c>
      <c r="M46" s="690">
        <v>13273.76</v>
      </c>
      <c r="N46" s="693">
        <v>90897.24</v>
      </c>
      <c r="O46" s="698">
        <f t="shared" si="1"/>
        <v>3462.7200000000003</v>
      </c>
      <c r="P46" s="699">
        <f t="shared" si="0"/>
        <v>87723.08</v>
      </c>
      <c r="Q46" s="1050"/>
      <c r="R46" s="651"/>
    </row>
    <row r="47" spans="2:18" ht="68.25" customHeight="1" hidden="1" outlineLevel="4">
      <c r="B47" s="1850" t="s">
        <v>1283</v>
      </c>
      <c r="C47" s="1850"/>
      <c r="D47" s="690">
        <v>24513</v>
      </c>
      <c r="E47" s="690">
        <v>3055.5</v>
      </c>
      <c r="F47" s="690">
        <v>21457.5</v>
      </c>
      <c r="G47" s="691"/>
      <c r="H47" s="692">
        <v>67.9</v>
      </c>
      <c r="I47" s="691"/>
      <c r="J47" s="691"/>
      <c r="K47" s="691"/>
      <c r="L47" s="690">
        <v>24513</v>
      </c>
      <c r="M47" s="690">
        <v>3123.4</v>
      </c>
      <c r="N47" s="693">
        <v>21389.6</v>
      </c>
      <c r="O47" s="698">
        <f t="shared" si="1"/>
        <v>814.8000000000001</v>
      </c>
      <c r="P47" s="699">
        <f t="shared" si="0"/>
        <v>20642.7</v>
      </c>
      <c r="Q47" s="1050"/>
      <c r="R47" s="651"/>
    </row>
    <row r="48" spans="2:18" ht="45.75" customHeight="1" hidden="1" outlineLevel="4">
      <c r="B48" s="1850" t="s">
        <v>1284</v>
      </c>
      <c r="C48" s="1850"/>
      <c r="D48" s="690">
        <v>7468</v>
      </c>
      <c r="E48" s="692">
        <v>931.05</v>
      </c>
      <c r="F48" s="690">
        <v>6536.95</v>
      </c>
      <c r="G48" s="691"/>
      <c r="H48" s="692">
        <v>20.69</v>
      </c>
      <c r="I48" s="691"/>
      <c r="J48" s="691"/>
      <c r="K48" s="691"/>
      <c r="L48" s="690">
        <v>7468</v>
      </c>
      <c r="M48" s="692">
        <v>951.74</v>
      </c>
      <c r="N48" s="693">
        <v>6516.26</v>
      </c>
      <c r="O48" s="698">
        <f t="shared" si="1"/>
        <v>248.28000000000003</v>
      </c>
      <c r="P48" s="699">
        <f t="shared" si="0"/>
        <v>6288.67</v>
      </c>
      <c r="Q48" s="1050"/>
      <c r="R48" s="651"/>
    </row>
    <row r="49" spans="2:18" ht="68.25" customHeight="1" hidden="1" outlineLevel="4">
      <c r="B49" s="1850" t="s">
        <v>196</v>
      </c>
      <c r="C49" s="1850"/>
      <c r="D49" s="690">
        <v>45905</v>
      </c>
      <c r="E49" s="690">
        <v>5722.2</v>
      </c>
      <c r="F49" s="690">
        <v>40182.8</v>
      </c>
      <c r="G49" s="691"/>
      <c r="H49" s="692">
        <v>127.16</v>
      </c>
      <c r="I49" s="691"/>
      <c r="J49" s="691"/>
      <c r="K49" s="691"/>
      <c r="L49" s="690">
        <v>45905</v>
      </c>
      <c r="M49" s="690">
        <v>5849.36</v>
      </c>
      <c r="N49" s="693">
        <v>40055.64</v>
      </c>
      <c r="O49" s="698">
        <f t="shared" si="1"/>
        <v>1525.92</v>
      </c>
      <c r="P49" s="699">
        <f t="shared" si="0"/>
        <v>38656.880000000005</v>
      </c>
      <c r="Q49" s="1050"/>
      <c r="R49" s="651"/>
    </row>
    <row r="50" spans="2:18" ht="57" customHeight="1" hidden="1" outlineLevel="4">
      <c r="B50" s="1850" t="s">
        <v>197</v>
      </c>
      <c r="C50" s="1850"/>
      <c r="D50" s="690">
        <v>10725</v>
      </c>
      <c r="E50" s="690">
        <v>1336.95</v>
      </c>
      <c r="F50" s="690">
        <v>9388.05</v>
      </c>
      <c r="G50" s="691"/>
      <c r="H50" s="692">
        <v>29.71</v>
      </c>
      <c r="I50" s="691"/>
      <c r="J50" s="691"/>
      <c r="K50" s="691"/>
      <c r="L50" s="690">
        <v>10725</v>
      </c>
      <c r="M50" s="690">
        <v>1366.66</v>
      </c>
      <c r="N50" s="693">
        <v>9358.34</v>
      </c>
      <c r="O50" s="698">
        <f t="shared" si="1"/>
        <v>356.52</v>
      </c>
      <c r="P50" s="699">
        <f t="shared" si="0"/>
        <v>9031.529999999999</v>
      </c>
      <c r="Q50" s="1050"/>
      <c r="R50" s="651"/>
    </row>
    <row r="51" spans="2:18" ht="45.75" customHeight="1" hidden="1" outlineLevel="4">
      <c r="B51" s="1850" t="s">
        <v>198</v>
      </c>
      <c r="C51" s="1850"/>
      <c r="D51" s="690">
        <v>318764.8</v>
      </c>
      <c r="E51" s="690">
        <v>19588.8</v>
      </c>
      <c r="F51" s="690">
        <v>299176</v>
      </c>
      <c r="G51" s="691"/>
      <c r="H51" s="692">
        <v>890.4</v>
      </c>
      <c r="I51" s="691"/>
      <c r="J51" s="691"/>
      <c r="K51" s="691"/>
      <c r="L51" s="690">
        <v>318764.8</v>
      </c>
      <c r="M51" s="690">
        <v>20479.2</v>
      </c>
      <c r="N51" s="693">
        <v>298285.6</v>
      </c>
      <c r="O51" s="698">
        <f t="shared" si="1"/>
        <v>10684.8</v>
      </c>
      <c r="P51" s="699">
        <f t="shared" si="0"/>
        <v>288491.2</v>
      </c>
      <c r="Q51" s="1050"/>
      <c r="R51" s="651"/>
    </row>
    <row r="52" spans="2:18" ht="57" customHeight="1" hidden="1" outlineLevel="4">
      <c r="B52" s="1850" t="s">
        <v>199</v>
      </c>
      <c r="C52" s="1850"/>
      <c r="D52" s="690">
        <v>21336</v>
      </c>
      <c r="E52" s="690">
        <v>2659.5</v>
      </c>
      <c r="F52" s="690">
        <v>18676.5</v>
      </c>
      <c r="G52" s="691"/>
      <c r="H52" s="692">
        <v>59.1</v>
      </c>
      <c r="I52" s="691"/>
      <c r="J52" s="691"/>
      <c r="K52" s="691"/>
      <c r="L52" s="690">
        <v>21336</v>
      </c>
      <c r="M52" s="690">
        <v>2718.6</v>
      </c>
      <c r="N52" s="693">
        <v>18617.4</v>
      </c>
      <c r="O52" s="698">
        <f t="shared" si="1"/>
        <v>709.2</v>
      </c>
      <c r="P52" s="699">
        <f t="shared" si="0"/>
        <v>17967.3</v>
      </c>
      <c r="Q52" s="1050"/>
      <c r="R52" s="651"/>
    </row>
    <row r="53" spans="2:18" ht="45.75" customHeight="1" hidden="1" outlineLevel="4">
      <c r="B53" s="1850" t="s">
        <v>200</v>
      </c>
      <c r="C53" s="1850"/>
      <c r="D53" s="690">
        <v>18349</v>
      </c>
      <c r="E53" s="690">
        <v>2287.35</v>
      </c>
      <c r="F53" s="690">
        <v>16061.65</v>
      </c>
      <c r="G53" s="691"/>
      <c r="H53" s="692">
        <v>50.83</v>
      </c>
      <c r="I53" s="691"/>
      <c r="J53" s="691"/>
      <c r="K53" s="691"/>
      <c r="L53" s="690">
        <v>18349</v>
      </c>
      <c r="M53" s="690">
        <v>2338.18</v>
      </c>
      <c r="N53" s="693">
        <v>16010.82</v>
      </c>
      <c r="O53" s="698">
        <f t="shared" si="1"/>
        <v>609.96</v>
      </c>
      <c r="P53" s="699">
        <f t="shared" si="0"/>
        <v>15451.689999999999</v>
      </c>
      <c r="Q53" s="1050"/>
      <c r="R53" s="651"/>
    </row>
    <row r="54" spans="2:18" ht="57" customHeight="1" hidden="1" outlineLevel="4">
      <c r="B54" s="1850" t="s">
        <v>201</v>
      </c>
      <c r="C54" s="1850"/>
      <c r="D54" s="690">
        <v>20947</v>
      </c>
      <c r="E54" s="690">
        <v>2610.9</v>
      </c>
      <c r="F54" s="690">
        <v>18336.1</v>
      </c>
      <c r="G54" s="691"/>
      <c r="H54" s="692">
        <v>58.02</v>
      </c>
      <c r="I54" s="691"/>
      <c r="J54" s="691"/>
      <c r="K54" s="691"/>
      <c r="L54" s="690">
        <v>20947</v>
      </c>
      <c r="M54" s="690">
        <v>2668.92</v>
      </c>
      <c r="N54" s="693">
        <v>18278.08</v>
      </c>
      <c r="O54" s="698">
        <f t="shared" si="1"/>
        <v>696.24</v>
      </c>
      <c r="P54" s="699">
        <f t="shared" si="0"/>
        <v>17639.859999999997</v>
      </c>
      <c r="Q54" s="1050"/>
      <c r="R54" s="651"/>
    </row>
    <row r="55" spans="2:18" ht="57" customHeight="1" hidden="1" outlineLevel="4">
      <c r="B55" s="1850" t="s">
        <v>202</v>
      </c>
      <c r="C55" s="1850"/>
      <c r="D55" s="690">
        <v>5761</v>
      </c>
      <c r="E55" s="692">
        <v>718.2</v>
      </c>
      <c r="F55" s="690">
        <v>5042.8</v>
      </c>
      <c r="G55" s="691"/>
      <c r="H55" s="692">
        <v>15.96</v>
      </c>
      <c r="I55" s="691"/>
      <c r="J55" s="691"/>
      <c r="K55" s="691"/>
      <c r="L55" s="690">
        <v>5761</v>
      </c>
      <c r="M55" s="692">
        <v>734.16</v>
      </c>
      <c r="N55" s="693">
        <v>5026.84</v>
      </c>
      <c r="O55" s="698">
        <f t="shared" si="1"/>
        <v>191.52</v>
      </c>
      <c r="P55" s="699">
        <f t="shared" si="0"/>
        <v>4851.28</v>
      </c>
      <c r="Q55" s="1050"/>
      <c r="R55" s="651"/>
    </row>
    <row r="56" spans="2:18" ht="57" customHeight="1" hidden="1" outlineLevel="4">
      <c r="B56" s="1850" t="s">
        <v>203</v>
      </c>
      <c r="C56" s="1850"/>
      <c r="D56" s="690">
        <v>16002</v>
      </c>
      <c r="E56" s="690">
        <v>1994.85</v>
      </c>
      <c r="F56" s="690">
        <v>14007.15</v>
      </c>
      <c r="G56" s="691"/>
      <c r="H56" s="692">
        <v>44.33</v>
      </c>
      <c r="I56" s="691"/>
      <c r="J56" s="691"/>
      <c r="K56" s="691"/>
      <c r="L56" s="690">
        <v>16002</v>
      </c>
      <c r="M56" s="690">
        <v>2039.18</v>
      </c>
      <c r="N56" s="693">
        <v>13962.82</v>
      </c>
      <c r="O56" s="698">
        <f t="shared" si="1"/>
        <v>531.96</v>
      </c>
      <c r="P56" s="699">
        <f t="shared" si="0"/>
        <v>13475.189999999999</v>
      </c>
      <c r="Q56" s="1050"/>
      <c r="R56" s="651"/>
    </row>
    <row r="57" spans="2:18" ht="57" customHeight="1" hidden="1" outlineLevel="4">
      <c r="B57" s="1850" t="s">
        <v>204</v>
      </c>
      <c r="C57" s="1850"/>
      <c r="D57" s="690">
        <v>17069</v>
      </c>
      <c r="E57" s="690">
        <v>2127.6</v>
      </c>
      <c r="F57" s="690">
        <v>14941.4</v>
      </c>
      <c r="G57" s="691"/>
      <c r="H57" s="692">
        <v>47.28</v>
      </c>
      <c r="I57" s="691"/>
      <c r="J57" s="691"/>
      <c r="K57" s="691"/>
      <c r="L57" s="690">
        <v>17069</v>
      </c>
      <c r="M57" s="690">
        <v>2174.88</v>
      </c>
      <c r="N57" s="693">
        <v>14894.12</v>
      </c>
      <c r="O57" s="698">
        <f t="shared" si="1"/>
        <v>567.36</v>
      </c>
      <c r="P57" s="699">
        <f t="shared" si="0"/>
        <v>14374.039999999999</v>
      </c>
      <c r="Q57" s="1050"/>
      <c r="R57" s="651"/>
    </row>
    <row r="58" spans="2:18" ht="57" customHeight="1" hidden="1" outlineLevel="4">
      <c r="B58" s="1850" t="s">
        <v>205</v>
      </c>
      <c r="C58" s="1850"/>
      <c r="D58" s="690">
        <v>23683</v>
      </c>
      <c r="E58" s="690">
        <v>2952</v>
      </c>
      <c r="F58" s="690">
        <v>20731</v>
      </c>
      <c r="G58" s="691"/>
      <c r="H58" s="692">
        <v>65.6</v>
      </c>
      <c r="I58" s="691"/>
      <c r="J58" s="691"/>
      <c r="K58" s="691"/>
      <c r="L58" s="690">
        <v>23683</v>
      </c>
      <c r="M58" s="690">
        <v>3017.6</v>
      </c>
      <c r="N58" s="693">
        <v>20665.4</v>
      </c>
      <c r="O58" s="698">
        <f t="shared" si="1"/>
        <v>787.1999999999999</v>
      </c>
      <c r="P58" s="699">
        <f t="shared" si="0"/>
        <v>19943.8</v>
      </c>
      <c r="Q58" s="1050"/>
      <c r="R58" s="651"/>
    </row>
    <row r="59" spans="2:18" ht="57" customHeight="1" hidden="1" outlineLevel="4">
      <c r="B59" s="1850" t="s">
        <v>206</v>
      </c>
      <c r="C59" s="1850"/>
      <c r="D59" s="690">
        <v>15148</v>
      </c>
      <c r="E59" s="690">
        <v>1888.2</v>
      </c>
      <c r="F59" s="690">
        <v>13259.8</v>
      </c>
      <c r="G59" s="691"/>
      <c r="H59" s="692">
        <v>41.96</v>
      </c>
      <c r="I59" s="691"/>
      <c r="J59" s="691"/>
      <c r="K59" s="691"/>
      <c r="L59" s="690">
        <v>15148</v>
      </c>
      <c r="M59" s="690">
        <v>1930.16</v>
      </c>
      <c r="N59" s="693">
        <v>13217.84</v>
      </c>
      <c r="O59" s="698">
        <f t="shared" si="1"/>
        <v>503.52</v>
      </c>
      <c r="P59" s="699">
        <f t="shared" si="0"/>
        <v>12756.279999999999</v>
      </c>
      <c r="Q59" s="1050"/>
      <c r="R59" s="651"/>
    </row>
    <row r="60" spans="2:18" ht="57" customHeight="1" hidden="1" outlineLevel="4">
      <c r="B60" s="1850" t="s">
        <v>207</v>
      </c>
      <c r="C60" s="1850"/>
      <c r="D60" s="690">
        <v>21123</v>
      </c>
      <c r="E60" s="690">
        <v>2632.95</v>
      </c>
      <c r="F60" s="690">
        <v>18490.05</v>
      </c>
      <c r="G60" s="691"/>
      <c r="H60" s="692">
        <v>58.51</v>
      </c>
      <c r="I60" s="691"/>
      <c r="J60" s="691"/>
      <c r="K60" s="691"/>
      <c r="L60" s="690">
        <v>21123</v>
      </c>
      <c r="M60" s="690">
        <v>2691.46</v>
      </c>
      <c r="N60" s="693">
        <v>18431.54</v>
      </c>
      <c r="O60" s="698">
        <f t="shared" si="1"/>
        <v>702.12</v>
      </c>
      <c r="P60" s="699">
        <f t="shared" si="0"/>
        <v>17787.93</v>
      </c>
      <c r="Q60" s="1050"/>
      <c r="R60" s="651"/>
    </row>
    <row r="61" spans="2:18" ht="68.25" customHeight="1" hidden="1" outlineLevel="4">
      <c r="B61" s="1850" t="s">
        <v>208</v>
      </c>
      <c r="C61" s="1850"/>
      <c r="D61" s="690">
        <v>982952.01</v>
      </c>
      <c r="E61" s="690">
        <v>84848.1</v>
      </c>
      <c r="F61" s="690">
        <v>898103.91</v>
      </c>
      <c r="G61" s="691"/>
      <c r="H61" s="690">
        <v>2665</v>
      </c>
      <c r="I61" s="691"/>
      <c r="J61" s="691"/>
      <c r="K61" s="691"/>
      <c r="L61" s="690">
        <v>982952.01</v>
      </c>
      <c r="M61" s="690">
        <v>87513.1</v>
      </c>
      <c r="N61" s="693">
        <v>895438.91</v>
      </c>
      <c r="O61" s="698">
        <f t="shared" si="1"/>
        <v>31980</v>
      </c>
      <c r="P61" s="699">
        <f t="shared" si="0"/>
        <v>866123.91</v>
      </c>
      <c r="Q61" s="1050"/>
      <c r="R61" s="651"/>
    </row>
    <row r="62" spans="2:18" ht="57" customHeight="1" hidden="1" outlineLevel="4">
      <c r="B62" s="1850" t="s">
        <v>209</v>
      </c>
      <c r="C62" s="1850"/>
      <c r="D62" s="690">
        <v>56646</v>
      </c>
      <c r="E62" s="690">
        <v>7060.95</v>
      </c>
      <c r="F62" s="690">
        <v>49585.05</v>
      </c>
      <c r="G62" s="691"/>
      <c r="H62" s="692">
        <v>156.91</v>
      </c>
      <c r="I62" s="691"/>
      <c r="J62" s="691"/>
      <c r="K62" s="691"/>
      <c r="L62" s="690">
        <v>56646</v>
      </c>
      <c r="M62" s="690">
        <v>7217.86</v>
      </c>
      <c r="N62" s="693">
        <v>49428.14</v>
      </c>
      <c r="O62" s="698">
        <f t="shared" si="1"/>
        <v>1882.92</v>
      </c>
      <c r="P62" s="699">
        <f t="shared" si="0"/>
        <v>47702.130000000005</v>
      </c>
      <c r="Q62" s="1050"/>
      <c r="R62" s="651"/>
    </row>
    <row r="63" spans="2:18" ht="57" customHeight="1" hidden="1" outlineLevel="4">
      <c r="B63" s="1850" t="s">
        <v>210</v>
      </c>
      <c r="C63" s="1850"/>
      <c r="D63" s="690">
        <v>9814</v>
      </c>
      <c r="E63" s="690">
        <v>1223.55</v>
      </c>
      <c r="F63" s="690">
        <v>8590.45</v>
      </c>
      <c r="G63" s="691"/>
      <c r="H63" s="692">
        <v>27.19</v>
      </c>
      <c r="I63" s="691"/>
      <c r="J63" s="691"/>
      <c r="K63" s="691"/>
      <c r="L63" s="690">
        <v>9814</v>
      </c>
      <c r="M63" s="690">
        <v>1250.74</v>
      </c>
      <c r="N63" s="693">
        <v>8563.26</v>
      </c>
      <c r="O63" s="698">
        <f t="shared" si="1"/>
        <v>326.28000000000003</v>
      </c>
      <c r="P63" s="699">
        <f t="shared" si="0"/>
        <v>8264.17</v>
      </c>
      <c r="Q63" s="1050"/>
      <c r="R63" s="651"/>
    </row>
    <row r="64" spans="2:18" ht="57" customHeight="1" hidden="1" outlineLevel="4">
      <c r="B64" s="1850" t="s">
        <v>211</v>
      </c>
      <c r="C64" s="1850"/>
      <c r="D64" s="690">
        <v>10028</v>
      </c>
      <c r="E64" s="690">
        <v>1250.1</v>
      </c>
      <c r="F64" s="690">
        <v>8777.9</v>
      </c>
      <c r="G64" s="691"/>
      <c r="H64" s="692">
        <v>27.78</v>
      </c>
      <c r="I64" s="691"/>
      <c r="J64" s="691"/>
      <c r="K64" s="691"/>
      <c r="L64" s="690">
        <v>10028</v>
      </c>
      <c r="M64" s="690">
        <v>1277.88</v>
      </c>
      <c r="N64" s="693">
        <v>8750.12</v>
      </c>
      <c r="O64" s="698">
        <f t="shared" si="1"/>
        <v>333.36</v>
      </c>
      <c r="P64" s="699">
        <f t="shared" si="0"/>
        <v>8444.539999999999</v>
      </c>
      <c r="Q64" s="1050"/>
      <c r="R64" s="651"/>
    </row>
    <row r="65" spans="2:18" ht="57" customHeight="1" hidden="1" outlineLevel="4">
      <c r="B65" s="1850" t="s">
        <v>1090</v>
      </c>
      <c r="C65" s="1850"/>
      <c r="D65" s="690">
        <v>131638.74</v>
      </c>
      <c r="E65" s="690">
        <v>15581.19</v>
      </c>
      <c r="F65" s="690">
        <v>116057.55</v>
      </c>
      <c r="G65" s="691"/>
      <c r="H65" s="692">
        <v>366.11</v>
      </c>
      <c r="I65" s="691"/>
      <c r="J65" s="691"/>
      <c r="K65" s="691"/>
      <c r="L65" s="690">
        <v>131638.74</v>
      </c>
      <c r="M65" s="690">
        <v>15947.3</v>
      </c>
      <c r="N65" s="693">
        <v>115691.44</v>
      </c>
      <c r="O65" s="698">
        <f t="shared" si="1"/>
        <v>4393.32</v>
      </c>
      <c r="P65" s="699">
        <f t="shared" si="0"/>
        <v>111664.23000000001</v>
      </c>
      <c r="Q65" s="1050"/>
      <c r="R65" s="651"/>
    </row>
    <row r="66" spans="2:18" ht="45.75" customHeight="1" hidden="1" outlineLevel="4">
      <c r="B66" s="1850" t="s">
        <v>1091</v>
      </c>
      <c r="C66" s="1850"/>
      <c r="D66" s="690">
        <v>12588</v>
      </c>
      <c r="E66" s="690">
        <v>1569.15</v>
      </c>
      <c r="F66" s="690">
        <v>11018.85</v>
      </c>
      <c r="G66" s="691"/>
      <c r="H66" s="692">
        <v>34.87</v>
      </c>
      <c r="I66" s="691"/>
      <c r="J66" s="691"/>
      <c r="K66" s="691"/>
      <c r="L66" s="690">
        <v>12588</v>
      </c>
      <c r="M66" s="690">
        <v>1604.02</v>
      </c>
      <c r="N66" s="693">
        <v>10983.98</v>
      </c>
      <c r="O66" s="698">
        <f t="shared" si="1"/>
        <v>418.43999999999994</v>
      </c>
      <c r="P66" s="699">
        <f t="shared" si="0"/>
        <v>10600.41</v>
      </c>
      <c r="Q66" s="1050"/>
      <c r="R66" s="651"/>
    </row>
    <row r="67" spans="2:18" ht="57" customHeight="1" hidden="1" outlineLevel="4">
      <c r="B67" s="1850" t="s">
        <v>1092</v>
      </c>
      <c r="C67" s="1850"/>
      <c r="D67" s="690">
        <v>3131</v>
      </c>
      <c r="E67" s="692">
        <v>390.15</v>
      </c>
      <c r="F67" s="690">
        <v>2740.85</v>
      </c>
      <c r="G67" s="691"/>
      <c r="H67" s="692">
        <v>8.67</v>
      </c>
      <c r="I67" s="691"/>
      <c r="J67" s="691"/>
      <c r="K67" s="691"/>
      <c r="L67" s="690">
        <v>3131</v>
      </c>
      <c r="M67" s="692">
        <v>398.82</v>
      </c>
      <c r="N67" s="693">
        <v>2732.18</v>
      </c>
      <c r="O67" s="698">
        <f t="shared" si="1"/>
        <v>104.03999999999999</v>
      </c>
      <c r="P67" s="699">
        <f t="shared" si="0"/>
        <v>2636.81</v>
      </c>
      <c r="Q67" s="1050"/>
      <c r="R67" s="651"/>
    </row>
    <row r="68" spans="2:18" ht="68.25" customHeight="1" hidden="1" outlineLevel="4">
      <c r="B68" s="1850" t="s">
        <v>1093</v>
      </c>
      <c r="C68" s="1850"/>
      <c r="D68" s="690">
        <v>11948</v>
      </c>
      <c r="E68" s="690">
        <v>1489.5</v>
      </c>
      <c r="F68" s="690">
        <v>10458.5</v>
      </c>
      <c r="G68" s="691"/>
      <c r="H68" s="692">
        <v>33.1</v>
      </c>
      <c r="I68" s="691"/>
      <c r="J68" s="691"/>
      <c r="K68" s="691"/>
      <c r="L68" s="690">
        <v>11948</v>
      </c>
      <c r="M68" s="690">
        <v>1522.6</v>
      </c>
      <c r="N68" s="693">
        <v>10425.4</v>
      </c>
      <c r="O68" s="698">
        <f t="shared" si="1"/>
        <v>397.20000000000005</v>
      </c>
      <c r="P68" s="699">
        <f t="shared" si="0"/>
        <v>10061.3</v>
      </c>
      <c r="Q68" s="1050"/>
      <c r="R68" s="651"/>
    </row>
    <row r="69" spans="2:18" ht="68.25" customHeight="1" hidden="1" outlineLevel="4">
      <c r="B69" s="1850" t="s">
        <v>1094</v>
      </c>
      <c r="C69" s="1850"/>
      <c r="D69" s="690">
        <v>9814</v>
      </c>
      <c r="E69" s="690">
        <v>1223.55</v>
      </c>
      <c r="F69" s="690">
        <v>8590.45</v>
      </c>
      <c r="G69" s="691"/>
      <c r="H69" s="692">
        <v>27.19</v>
      </c>
      <c r="I69" s="691"/>
      <c r="J69" s="691"/>
      <c r="K69" s="691"/>
      <c r="L69" s="690">
        <v>9814</v>
      </c>
      <c r="M69" s="690">
        <v>1250.74</v>
      </c>
      <c r="N69" s="693">
        <v>8563.26</v>
      </c>
      <c r="O69" s="698">
        <f t="shared" si="1"/>
        <v>326.28000000000003</v>
      </c>
      <c r="P69" s="699">
        <f t="shared" si="0"/>
        <v>8264.17</v>
      </c>
      <c r="Q69" s="1050"/>
      <c r="R69" s="651"/>
    </row>
    <row r="70" spans="2:18" ht="57" customHeight="1" hidden="1" outlineLevel="4">
      <c r="B70" s="1850" t="s">
        <v>1095</v>
      </c>
      <c r="C70" s="1850"/>
      <c r="D70" s="690">
        <v>17495</v>
      </c>
      <c r="E70" s="690">
        <v>2180.7</v>
      </c>
      <c r="F70" s="690">
        <v>15314.3</v>
      </c>
      <c r="G70" s="691"/>
      <c r="H70" s="692">
        <v>48.46</v>
      </c>
      <c r="I70" s="691"/>
      <c r="J70" s="691"/>
      <c r="K70" s="691"/>
      <c r="L70" s="690">
        <v>17495</v>
      </c>
      <c r="M70" s="690">
        <v>2229.16</v>
      </c>
      <c r="N70" s="693">
        <v>15265.84</v>
      </c>
      <c r="O70" s="698">
        <f t="shared" si="1"/>
        <v>581.52</v>
      </c>
      <c r="P70" s="699">
        <f t="shared" si="0"/>
        <v>14732.779999999999</v>
      </c>
      <c r="Q70" s="1050"/>
      <c r="R70" s="651"/>
    </row>
    <row r="71" spans="2:18" ht="68.25" customHeight="1" hidden="1" outlineLevel="4">
      <c r="B71" s="1850" t="s">
        <v>1096</v>
      </c>
      <c r="C71" s="1850"/>
      <c r="D71" s="690">
        <v>8534</v>
      </c>
      <c r="E71" s="690">
        <v>1063.8</v>
      </c>
      <c r="F71" s="690">
        <v>7470.2</v>
      </c>
      <c r="G71" s="691"/>
      <c r="H71" s="692">
        <v>23.64</v>
      </c>
      <c r="I71" s="691"/>
      <c r="J71" s="691"/>
      <c r="K71" s="691"/>
      <c r="L71" s="690">
        <v>8534</v>
      </c>
      <c r="M71" s="690">
        <v>1087.44</v>
      </c>
      <c r="N71" s="693">
        <v>7446.56</v>
      </c>
      <c r="O71" s="698">
        <f t="shared" si="1"/>
        <v>283.68</v>
      </c>
      <c r="P71" s="699">
        <f t="shared" si="0"/>
        <v>7186.5199999999995</v>
      </c>
      <c r="Q71" s="1050"/>
      <c r="R71" s="651"/>
    </row>
    <row r="72" spans="2:18" ht="57" customHeight="1" hidden="1" outlineLevel="4">
      <c r="B72" s="1850" t="s">
        <v>1097</v>
      </c>
      <c r="C72" s="1850"/>
      <c r="D72" s="690">
        <v>9388</v>
      </c>
      <c r="E72" s="690">
        <v>1170.45</v>
      </c>
      <c r="F72" s="690">
        <v>8217.55</v>
      </c>
      <c r="G72" s="691"/>
      <c r="H72" s="692">
        <v>26.01</v>
      </c>
      <c r="I72" s="691"/>
      <c r="J72" s="691"/>
      <c r="K72" s="691"/>
      <c r="L72" s="690">
        <v>9388</v>
      </c>
      <c r="M72" s="690">
        <v>1196.46</v>
      </c>
      <c r="N72" s="693">
        <v>8191.54</v>
      </c>
      <c r="O72" s="698">
        <f t="shared" si="1"/>
        <v>312.12</v>
      </c>
      <c r="P72" s="699">
        <f t="shared" si="0"/>
        <v>7905.429999999999</v>
      </c>
      <c r="Q72" s="1050"/>
      <c r="R72" s="651"/>
    </row>
    <row r="73" spans="2:18" ht="57" customHeight="1" hidden="1" outlineLevel="4">
      <c r="B73" s="1850" t="s">
        <v>1098</v>
      </c>
      <c r="C73" s="1850"/>
      <c r="D73" s="690">
        <v>1920</v>
      </c>
      <c r="E73" s="692">
        <v>239.4</v>
      </c>
      <c r="F73" s="690">
        <v>1680.6</v>
      </c>
      <c r="G73" s="691"/>
      <c r="H73" s="692">
        <v>5.32</v>
      </c>
      <c r="I73" s="691"/>
      <c r="J73" s="691"/>
      <c r="K73" s="691"/>
      <c r="L73" s="690">
        <v>1920</v>
      </c>
      <c r="M73" s="692">
        <v>244.72</v>
      </c>
      <c r="N73" s="693">
        <v>1675.28</v>
      </c>
      <c r="O73" s="698">
        <f t="shared" si="1"/>
        <v>63.84</v>
      </c>
      <c r="P73" s="699">
        <f t="shared" si="0"/>
        <v>1616.76</v>
      </c>
      <c r="Q73" s="1050"/>
      <c r="R73" s="651"/>
    </row>
    <row r="74" spans="2:18" ht="45.75" customHeight="1" hidden="1" outlineLevel="4">
      <c r="B74" s="1850" t="s">
        <v>1099</v>
      </c>
      <c r="C74" s="1850"/>
      <c r="D74" s="690">
        <v>5334</v>
      </c>
      <c r="E74" s="692">
        <v>665.1</v>
      </c>
      <c r="F74" s="690">
        <v>4668.9</v>
      </c>
      <c r="G74" s="691"/>
      <c r="H74" s="692">
        <v>14.78</v>
      </c>
      <c r="I74" s="691"/>
      <c r="J74" s="691"/>
      <c r="K74" s="691"/>
      <c r="L74" s="690">
        <v>5334</v>
      </c>
      <c r="M74" s="692">
        <v>679.88</v>
      </c>
      <c r="N74" s="693">
        <v>4654.12</v>
      </c>
      <c r="O74" s="698">
        <f t="shared" si="1"/>
        <v>177.35999999999999</v>
      </c>
      <c r="P74" s="699">
        <f t="shared" si="0"/>
        <v>4491.54</v>
      </c>
      <c r="Q74" s="1050"/>
      <c r="R74" s="651"/>
    </row>
    <row r="75" spans="2:18" ht="57" customHeight="1" hidden="1" outlineLevel="4">
      <c r="B75" s="1850" t="s">
        <v>1100</v>
      </c>
      <c r="C75" s="1850"/>
      <c r="D75" s="690">
        <v>13816</v>
      </c>
      <c r="E75" s="690">
        <v>1722.15</v>
      </c>
      <c r="F75" s="690">
        <v>12093.85</v>
      </c>
      <c r="G75" s="691"/>
      <c r="H75" s="692">
        <v>38.27</v>
      </c>
      <c r="I75" s="691"/>
      <c r="J75" s="691"/>
      <c r="K75" s="691"/>
      <c r="L75" s="690">
        <v>13816</v>
      </c>
      <c r="M75" s="690">
        <v>1760.42</v>
      </c>
      <c r="N75" s="693">
        <v>12055.58</v>
      </c>
      <c r="O75" s="698">
        <f t="shared" si="1"/>
        <v>459.24</v>
      </c>
      <c r="P75" s="699">
        <f t="shared" si="0"/>
        <v>11634.61</v>
      </c>
      <c r="Q75" s="1050"/>
      <c r="R75" s="651"/>
    </row>
    <row r="76" spans="2:18" ht="68.25" customHeight="1" hidden="1" outlineLevel="4">
      <c r="B76" s="1850" t="s">
        <v>1101</v>
      </c>
      <c r="C76" s="1850"/>
      <c r="D76" s="690">
        <v>39666</v>
      </c>
      <c r="E76" s="690">
        <v>4944.6</v>
      </c>
      <c r="F76" s="690">
        <v>34721.4</v>
      </c>
      <c r="G76" s="691"/>
      <c r="H76" s="692">
        <v>109.88</v>
      </c>
      <c r="I76" s="691"/>
      <c r="J76" s="691"/>
      <c r="K76" s="691"/>
      <c r="L76" s="690">
        <v>39666</v>
      </c>
      <c r="M76" s="690">
        <v>5054.48</v>
      </c>
      <c r="N76" s="693">
        <v>34611.52</v>
      </c>
      <c r="O76" s="698">
        <f t="shared" si="1"/>
        <v>1318.56</v>
      </c>
      <c r="P76" s="699">
        <f aca="true" t="shared" si="3" ref="P76:P139">F76-O76</f>
        <v>33402.840000000004</v>
      </c>
      <c r="Q76" s="1050"/>
      <c r="R76" s="651"/>
    </row>
    <row r="77" spans="2:18" ht="57" customHeight="1" hidden="1" outlineLevel="4">
      <c r="B77" s="1850" t="s">
        <v>1102</v>
      </c>
      <c r="C77" s="1850"/>
      <c r="D77" s="690">
        <v>117418</v>
      </c>
      <c r="E77" s="690">
        <v>14636.7</v>
      </c>
      <c r="F77" s="690">
        <v>102781.3</v>
      </c>
      <c r="G77" s="691"/>
      <c r="H77" s="692">
        <v>325.26</v>
      </c>
      <c r="I77" s="691"/>
      <c r="J77" s="691"/>
      <c r="K77" s="691"/>
      <c r="L77" s="690">
        <v>117418</v>
      </c>
      <c r="M77" s="690">
        <v>14961.96</v>
      </c>
      <c r="N77" s="693">
        <v>102456.04</v>
      </c>
      <c r="O77" s="698">
        <f t="shared" si="1"/>
        <v>3903.12</v>
      </c>
      <c r="P77" s="699">
        <f t="shared" si="3"/>
        <v>98878.18000000001</v>
      </c>
      <c r="Q77" s="1050"/>
      <c r="R77" s="651"/>
    </row>
    <row r="78" spans="2:18" ht="68.25" customHeight="1" hidden="1" outlineLevel="4">
      <c r="B78" s="1850" t="s">
        <v>1103</v>
      </c>
      <c r="C78" s="1850"/>
      <c r="D78" s="690">
        <v>116188</v>
      </c>
      <c r="E78" s="690">
        <v>14483.25</v>
      </c>
      <c r="F78" s="690">
        <v>101704.75</v>
      </c>
      <c r="G78" s="691"/>
      <c r="H78" s="692">
        <v>321.85</v>
      </c>
      <c r="I78" s="691"/>
      <c r="J78" s="691"/>
      <c r="K78" s="691"/>
      <c r="L78" s="690">
        <v>116188</v>
      </c>
      <c r="M78" s="690">
        <v>14805.1</v>
      </c>
      <c r="N78" s="693">
        <v>101382.9</v>
      </c>
      <c r="O78" s="698">
        <f t="shared" si="1"/>
        <v>3862.2000000000003</v>
      </c>
      <c r="P78" s="699">
        <f t="shared" si="3"/>
        <v>97842.55</v>
      </c>
      <c r="Q78" s="1050"/>
      <c r="R78" s="651"/>
    </row>
    <row r="79" spans="2:18" ht="45.75" customHeight="1" hidden="1" outlineLevel="4">
      <c r="B79" s="1850" t="s">
        <v>1104</v>
      </c>
      <c r="C79" s="1850"/>
      <c r="D79" s="690">
        <v>11308</v>
      </c>
      <c r="E79" s="690">
        <v>1409.4</v>
      </c>
      <c r="F79" s="690">
        <v>9898.6</v>
      </c>
      <c r="G79" s="691"/>
      <c r="H79" s="692">
        <v>31.32</v>
      </c>
      <c r="I79" s="691"/>
      <c r="J79" s="691"/>
      <c r="K79" s="691"/>
      <c r="L79" s="690">
        <v>11308</v>
      </c>
      <c r="M79" s="690">
        <v>1440.72</v>
      </c>
      <c r="N79" s="693">
        <v>9867.28</v>
      </c>
      <c r="O79" s="698">
        <f t="shared" si="1"/>
        <v>375.84000000000003</v>
      </c>
      <c r="P79" s="699">
        <f t="shared" si="3"/>
        <v>9522.76</v>
      </c>
      <c r="Q79" s="1050"/>
      <c r="R79" s="651"/>
    </row>
    <row r="80" spans="2:18" ht="68.25" customHeight="1" hidden="1" outlineLevel="4">
      <c r="B80" s="1850" t="s">
        <v>1105</v>
      </c>
      <c r="C80" s="1850"/>
      <c r="D80" s="690">
        <v>21549</v>
      </c>
      <c r="E80" s="690">
        <v>2686.05</v>
      </c>
      <c r="F80" s="690">
        <v>18862.95</v>
      </c>
      <c r="G80" s="691"/>
      <c r="H80" s="692">
        <v>59.69</v>
      </c>
      <c r="I80" s="691"/>
      <c r="J80" s="691"/>
      <c r="K80" s="691"/>
      <c r="L80" s="690">
        <v>21549</v>
      </c>
      <c r="M80" s="690">
        <v>2745.74</v>
      </c>
      <c r="N80" s="693">
        <v>18803.26</v>
      </c>
      <c r="O80" s="698">
        <f t="shared" si="1"/>
        <v>716.28</v>
      </c>
      <c r="P80" s="699">
        <f t="shared" si="3"/>
        <v>18146.670000000002</v>
      </c>
      <c r="Q80" s="1050"/>
      <c r="R80" s="651"/>
    </row>
    <row r="81" spans="2:18" ht="45.75" customHeight="1" hidden="1" outlineLevel="4">
      <c r="B81" s="1850" t="s">
        <v>1106</v>
      </c>
      <c r="C81" s="1850"/>
      <c r="D81" s="690">
        <v>13442</v>
      </c>
      <c r="E81" s="690">
        <v>1675.8</v>
      </c>
      <c r="F81" s="690">
        <v>11766.2</v>
      </c>
      <c r="G81" s="691"/>
      <c r="H81" s="692">
        <v>37.24</v>
      </c>
      <c r="I81" s="691"/>
      <c r="J81" s="691"/>
      <c r="K81" s="691"/>
      <c r="L81" s="690">
        <v>13442</v>
      </c>
      <c r="M81" s="690">
        <v>1713.04</v>
      </c>
      <c r="N81" s="693">
        <v>11728.96</v>
      </c>
      <c r="O81" s="698">
        <f aca="true" t="shared" si="4" ref="O81:O144">H81*12</f>
        <v>446.88</v>
      </c>
      <c r="P81" s="699">
        <f t="shared" si="3"/>
        <v>11319.320000000002</v>
      </c>
      <c r="Q81" s="1050"/>
      <c r="R81" s="651"/>
    </row>
    <row r="82" spans="2:18" ht="68.25" customHeight="1" hidden="1" outlineLevel="4">
      <c r="B82" s="1850" t="s">
        <v>1107</v>
      </c>
      <c r="C82" s="1850"/>
      <c r="D82" s="690">
        <v>12645</v>
      </c>
      <c r="E82" s="690">
        <v>1576.35</v>
      </c>
      <c r="F82" s="690">
        <v>11068.65</v>
      </c>
      <c r="G82" s="691"/>
      <c r="H82" s="692">
        <v>35.03</v>
      </c>
      <c r="I82" s="691"/>
      <c r="J82" s="691"/>
      <c r="K82" s="691"/>
      <c r="L82" s="690">
        <v>12645</v>
      </c>
      <c r="M82" s="690">
        <v>1611.38</v>
      </c>
      <c r="N82" s="693">
        <v>11033.62</v>
      </c>
      <c r="O82" s="698">
        <f t="shared" si="4"/>
        <v>420.36</v>
      </c>
      <c r="P82" s="699">
        <f t="shared" si="3"/>
        <v>10648.289999999999</v>
      </c>
      <c r="Q82" s="1050"/>
      <c r="R82" s="651"/>
    </row>
    <row r="83" spans="2:18" ht="57" customHeight="1" hidden="1" outlineLevel="4">
      <c r="B83" s="1850" t="s">
        <v>1108</v>
      </c>
      <c r="C83" s="1850"/>
      <c r="D83" s="690">
        <v>6169</v>
      </c>
      <c r="E83" s="692">
        <v>769.05</v>
      </c>
      <c r="F83" s="690">
        <v>5399.95</v>
      </c>
      <c r="G83" s="691"/>
      <c r="H83" s="692">
        <v>17.09</v>
      </c>
      <c r="I83" s="691"/>
      <c r="J83" s="691"/>
      <c r="K83" s="691"/>
      <c r="L83" s="690">
        <v>6169</v>
      </c>
      <c r="M83" s="692">
        <v>786.14</v>
      </c>
      <c r="N83" s="693">
        <v>5382.86</v>
      </c>
      <c r="O83" s="698">
        <f t="shared" si="4"/>
        <v>205.07999999999998</v>
      </c>
      <c r="P83" s="699">
        <f t="shared" si="3"/>
        <v>5194.87</v>
      </c>
      <c r="Q83" s="1050"/>
      <c r="R83" s="651"/>
    </row>
    <row r="84" spans="2:18" ht="57" customHeight="1" hidden="1" outlineLevel="4">
      <c r="B84" s="1850" t="s">
        <v>1109</v>
      </c>
      <c r="C84" s="1850"/>
      <c r="D84" s="690">
        <v>40557</v>
      </c>
      <c r="E84" s="690">
        <v>5055.75</v>
      </c>
      <c r="F84" s="690">
        <v>35501.25</v>
      </c>
      <c r="G84" s="691"/>
      <c r="H84" s="692">
        <v>112.35</v>
      </c>
      <c r="I84" s="691"/>
      <c r="J84" s="691"/>
      <c r="K84" s="691"/>
      <c r="L84" s="690">
        <v>40557</v>
      </c>
      <c r="M84" s="690">
        <v>5168.1</v>
      </c>
      <c r="N84" s="693">
        <v>35388.9</v>
      </c>
      <c r="O84" s="698">
        <f t="shared" si="4"/>
        <v>1348.1999999999998</v>
      </c>
      <c r="P84" s="699">
        <f t="shared" si="3"/>
        <v>34153.05</v>
      </c>
      <c r="Q84" s="1050"/>
      <c r="R84" s="651"/>
    </row>
    <row r="85" spans="2:18" ht="57" customHeight="1" hidden="1" outlineLevel="4">
      <c r="B85" s="1850" t="s">
        <v>1110</v>
      </c>
      <c r="C85" s="1850"/>
      <c r="D85" s="690">
        <v>8797</v>
      </c>
      <c r="E85" s="690">
        <v>1096.65</v>
      </c>
      <c r="F85" s="690">
        <v>7700.35</v>
      </c>
      <c r="G85" s="691"/>
      <c r="H85" s="692">
        <v>24.37</v>
      </c>
      <c r="I85" s="691"/>
      <c r="J85" s="691"/>
      <c r="K85" s="691"/>
      <c r="L85" s="690">
        <v>8797</v>
      </c>
      <c r="M85" s="690">
        <v>1121.02</v>
      </c>
      <c r="N85" s="693">
        <v>7675.98</v>
      </c>
      <c r="O85" s="698">
        <f t="shared" si="4"/>
        <v>292.44</v>
      </c>
      <c r="P85" s="699">
        <f t="shared" si="3"/>
        <v>7407.910000000001</v>
      </c>
      <c r="Q85" s="1050"/>
      <c r="R85" s="651"/>
    </row>
    <row r="86" spans="2:18" ht="57" customHeight="1" hidden="1" outlineLevel="4">
      <c r="B86" s="1850" t="s">
        <v>1111</v>
      </c>
      <c r="C86" s="1850"/>
      <c r="D86" s="690">
        <v>11521</v>
      </c>
      <c r="E86" s="690">
        <v>1435.95</v>
      </c>
      <c r="F86" s="690">
        <v>10085.05</v>
      </c>
      <c r="G86" s="691"/>
      <c r="H86" s="692">
        <v>31.91</v>
      </c>
      <c r="I86" s="691"/>
      <c r="J86" s="691"/>
      <c r="K86" s="691"/>
      <c r="L86" s="690">
        <v>11521</v>
      </c>
      <c r="M86" s="690">
        <v>1467.86</v>
      </c>
      <c r="N86" s="693">
        <v>10053.14</v>
      </c>
      <c r="O86" s="698">
        <f t="shared" si="4"/>
        <v>382.92</v>
      </c>
      <c r="P86" s="699">
        <f t="shared" si="3"/>
        <v>9702.13</v>
      </c>
      <c r="Q86" s="1050"/>
      <c r="R86" s="651"/>
    </row>
    <row r="87" spans="2:18" ht="68.25" customHeight="1" hidden="1" outlineLevel="4">
      <c r="B87" s="1850" t="s">
        <v>1112</v>
      </c>
      <c r="C87" s="1850"/>
      <c r="D87" s="690">
        <v>42150</v>
      </c>
      <c r="E87" s="690">
        <v>5254.2</v>
      </c>
      <c r="F87" s="690">
        <v>36895.8</v>
      </c>
      <c r="G87" s="691"/>
      <c r="H87" s="692">
        <v>116.76</v>
      </c>
      <c r="I87" s="691"/>
      <c r="J87" s="691"/>
      <c r="K87" s="691"/>
      <c r="L87" s="690">
        <v>42150</v>
      </c>
      <c r="M87" s="690">
        <v>5370.96</v>
      </c>
      <c r="N87" s="693">
        <v>36779.04</v>
      </c>
      <c r="O87" s="698">
        <f t="shared" si="4"/>
        <v>1401.1200000000001</v>
      </c>
      <c r="P87" s="699">
        <f t="shared" si="3"/>
        <v>35494.68</v>
      </c>
      <c r="Q87" s="1050"/>
      <c r="R87" s="651"/>
    </row>
    <row r="88" spans="2:18" ht="57" customHeight="1" hidden="1" outlineLevel="4">
      <c r="B88" s="1850" t="s">
        <v>1113</v>
      </c>
      <c r="C88" s="1850"/>
      <c r="D88" s="690">
        <v>11948</v>
      </c>
      <c r="E88" s="690">
        <v>1489.5</v>
      </c>
      <c r="F88" s="690">
        <v>10458.5</v>
      </c>
      <c r="G88" s="691"/>
      <c r="H88" s="692">
        <v>33.1</v>
      </c>
      <c r="I88" s="691"/>
      <c r="J88" s="691"/>
      <c r="K88" s="691"/>
      <c r="L88" s="690">
        <v>11948</v>
      </c>
      <c r="M88" s="690">
        <v>1522.6</v>
      </c>
      <c r="N88" s="693">
        <v>10425.4</v>
      </c>
      <c r="O88" s="698">
        <f t="shared" si="4"/>
        <v>397.20000000000005</v>
      </c>
      <c r="P88" s="699">
        <f t="shared" si="3"/>
        <v>10061.3</v>
      </c>
      <c r="Q88" s="1050"/>
      <c r="R88" s="651"/>
    </row>
    <row r="89" spans="2:18" ht="57" customHeight="1" hidden="1" outlineLevel="4">
      <c r="B89" s="1850" t="s">
        <v>1114</v>
      </c>
      <c r="C89" s="1850"/>
      <c r="D89" s="690">
        <v>10437</v>
      </c>
      <c r="E89" s="690">
        <v>1300.95</v>
      </c>
      <c r="F89" s="690">
        <v>9136.05</v>
      </c>
      <c r="G89" s="691"/>
      <c r="H89" s="692">
        <v>28.91</v>
      </c>
      <c r="I89" s="691"/>
      <c r="J89" s="691"/>
      <c r="K89" s="691"/>
      <c r="L89" s="690">
        <v>10437</v>
      </c>
      <c r="M89" s="690">
        <v>1329.86</v>
      </c>
      <c r="N89" s="693">
        <v>9107.14</v>
      </c>
      <c r="O89" s="698">
        <f t="shared" si="4"/>
        <v>346.92</v>
      </c>
      <c r="P89" s="699">
        <f t="shared" si="3"/>
        <v>8789.13</v>
      </c>
      <c r="Q89" s="1050"/>
      <c r="R89" s="651"/>
    </row>
    <row r="90" spans="2:18" ht="79.5" customHeight="1" hidden="1" outlineLevel="4">
      <c r="B90" s="1850" t="s">
        <v>262</v>
      </c>
      <c r="C90" s="1850"/>
      <c r="D90" s="690">
        <v>17709</v>
      </c>
      <c r="E90" s="690">
        <v>2207.7</v>
      </c>
      <c r="F90" s="690">
        <v>15501.3</v>
      </c>
      <c r="G90" s="691"/>
      <c r="H90" s="692">
        <v>49.06</v>
      </c>
      <c r="I90" s="691"/>
      <c r="J90" s="691"/>
      <c r="K90" s="691"/>
      <c r="L90" s="690">
        <v>17709</v>
      </c>
      <c r="M90" s="690">
        <v>2256.76</v>
      </c>
      <c r="N90" s="693">
        <v>15452.24</v>
      </c>
      <c r="O90" s="698">
        <f t="shared" si="4"/>
        <v>588.72</v>
      </c>
      <c r="P90" s="699">
        <f t="shared" si="3"/>
        <v>14912.58</v>
      </c>
      <c r="Q90" s="1050"/>
      <c r="R90" s="651"/>
    </row>
    <row r="91" spans="2:18" ht="68.25" customHeight="1" hidden="1" outlineLevel="4">
      <c r="B91" s="1850" t="s">
        <v>263</v>
      </c>
      <c r="C91" s="1850"/>
      <c r="D91" s="690">
        <v>3200</v>
      </c>
      <c r="E91" s="692">
        <v>398.7</v>
      </c>
      <c r="F91" s="690">
        <v>2801.3</v>
      </c>
      <c r="G91" s="691"/>
      <c r="H91" s="692">
        <v>8.86</v>
      </c>
      <c r="I91" s="691"/>
      <c r="J91" s="691"/>
      <c r="K91" s="691"/>
      <c r="L91" s="690">
        <v>3200</v>
      </c>
      <c r="M91" s="692">
        <v>407.56</v>
      </c>
      <c r="N91" s="693">
        <v>2792.44</v>
      </c>
      <c r="O91" s="698">
        <f t="shared" si="4"/>
        <v>106.32</v>
      </c>
      <c r="P91" s="699">
        <f t="shared" si="3"/>
        <v>2694.98</v>
      </c>
      <c r="Q91" s="1050"/>
      <c r="R91" s="651"/>
    </row>
    <row r="92" spans="2:18" ht="68.25" customHeight="1" hidden="1" outlineLevel="4">
      <c r="B92" s="1850" t="s">
        <v>264</v>
      </c>
      <c r="C92" s="1850"/>
      <c r="D92" s="690">
        <v>12802</v>
      </c>
      <c r="E92" s="690">
        <v>1595.7</v>
      </c>
      <c r="F92" s="690">
        <v>11206.3</v>
      </c>
      <c r="G92" s="691"/>
      <c r="H92" s="692">
        <v>35.46</v>
      </c>
      <c r="I92" s="691"/>
      <c r="J92" s="691"/>
      <c r="K92" s="691"/>
      <c r="L92" s="690">
        <v>12802</v>
      </c>
      <c r="M92" s="690">
        <v>1631.16</v>
      </c>
      <c r="N92" s="693">
        <v>11170.84</v>
      </c>
      <c r="O92" s="698">
        <f t="shared" si="4"/>
        <v>425.52</v>
      </c>
      <c r="P92" s="699">
        <f t="shared" si="3"/>
        <v>10780.779999999999</v>
      </c>
      <c r="Q92" s="1050"/>
      <c r="R92" s="651"/>
    </row>
    <row r="93" spans="2:18" ht="68.25" customHeight="1" hidden="1" outlineLevel="4">
      <c r="B93" s="1850" t="s">
        <v>265</v>
      </c>
      <c r="C93" s="1850"/>
      <c r="D93" s="690">
        <v>20056</v>
      </c>
      <c r="E93" s="690">
        <v>2500.2</v>
      </c>
      <c r="F93" s="690">
        <v>17555.8</v>
      </c>
      <c r="G93" s="691"/>
      <c r="H93" s="692">
        <v>55.56</v>
      </c>
      <c r="I93" s="691"/>
      <c r="J93" s="691"/>
      <c r="K93" s="691"/>
      <c r="L93" s="690">
        <v>20056</v>
      </c>
      <c r="M93" s="690">
        <v>2555.76</v>
      </c>
      <c r="N93" s="693">
        <v>17500.24</v>
      </c>
      <c r="O93" s="698">
        <f t="shared" si="4"/>
        <v>666.72</v>
      </c>
      <c r="P93" s="699">
        <f t="shared" si="3"/>
        <v>16889.079999999998</v>
      </c>
      <c r="Q93" s="1050"/>
      <c r="R93" s="651"/>
    </row>
    <row r="94" spans="2:18" ht="57" customHeight="1" hidden="1" outlineLevel="4">
      <c r="B94" s="1850" t="s">
        <v>266</v>
      </c>
      <c r="C94" s="1850"/>
      <c r="D94" s="690">
        <v>5761</v>
      </c>
      <c r="E94" s="692">
        <v>718.2</v>
      </c>
      <c r="F94" s="690">
        <v>5042.8</v>
      </c>
      <c r="G94" s="691"/>
      <c r="H94" s="692">
        <v>15.96</v>
      </c>
      <c r="I94" s="691"/>
      <c r="J94" s="691"/>
      <c r="K94" s="691"/>
      <c r="L94" s="690">
        <v>5761</v>
      </c>
      <c r="M94" s="692">
        <v>734.16</v>
      </c>
      <c r="N94" s="693">
        <v>5026.84</v>
      </c>
      <c r="O94" s="698">
        <f t="shared" si="4"/>
        <v>191.52</v>
      </c>
      <c r="P94" s="699">
        <f t="shared" si="3"/>
        <v>4851.28</v>
      </c>
      <c r="Q94" s="1050"/>
      <c r="R94" s="651"/>
    </row>
    <row r="95" spans="2:18" ht="57" customHeight="1" hidden="1" outlineLevel="4">
      <c r="B95" s="1850" t="s">
        <v>267</v>
      </c>
      <c r="C95" s="1850"/>
      <c r="D95" s="690">
        <v>2774</v>
      </c>
      <c r="E95" s="692">
        <v>345.6</v>
      </c>
      <c r="F95" s="690">
        <v>2428.4</v>
      </c>
      <c r="G95" s="691"/>
      <c r="H95" s="692">
        <v>7.68</v>
      </c>
      <c r="I95" s="691"/>
      <c r="J95" s="691"/>
      <c r="K95" s="691"/>
      <c r="L95" s="690">
        <v>2774</v>
      </c>
      <c r="M95" s="692">
        <v>353.28</v>
      </c>
      <c r="N95" s="693">
        <v>2420.72</v>
      </c>
      <c r="O95" s="698">
        <f t="shared" si="4"/>
        <v>92.16</v>
      </c>
      <c r="P95" s="699">
        <f t="shared" si="3"/>
        <v>2336.2400000000002</v>
      </c>
      <c r="Q95" s="1050"/>
      <c r="R95" s="651"/>
    </row>
    <row r="96" spans="2:18" ht="68.25" customHeight="1" hidden="1" outlineLevel="4">
      <c r="B96" s="1850" t="s">
        <v>268</v>
      </c>
      <c r="C96" s="1850"/>
      <c r="D96" s="690">
        <v>5974</v>
      </c>
      <c r="E96" s="692">
        <v>744.75</v>
      </c>
      <c r="F96" s="690">
        <v>5229.25</v>
      </c>
      <c r="G96" s="691"/>
      <c r="H96" s="692">
        <v>16.55</v>
      </c>
      <c r="I96" s="691"/>
      <c r="J96" s="691"/>
      <c r="K96" s="691"/>
      <c r="L96" s="690">
        <v>5974</v>
      </c>
      <c r="M96" s="692">
        <v>761.3</v>
      </c>
      <c r="N96" s="693">
        <v>5212.7</v>
      </c>
      <c r="O96" s="698">
        <f t="shared" si="4"/>
        <v>198.60000000000002</v>
      </c>
      <c r="P96" s="699">
        <f t="shared" si="3"/>
        <v>5030.65</v>
      </c>
      <c r="Q96" s="1050"/>
      <c r="R96" s="651"/>
    </row>
    <row r="97" spans="2:18" ht="57" customHeight="1" hidden="1" outlineLevel="4">
      <c r="B97" s="1850" t="s">
        <v>269</v>
      </c>
      <c r="C97" s="1850"/>
      <c r="D97" s="690">
        <v>12802</v>
      </c>
      <c r="E97" s="690">
        <v>1595.7</v>
      </c>
      <c r="F97" s="690">
        <v>11206.3</v>
      </c>
      <c r="G97" s="691"/>
      <c r="H97" s="692">
        <v>35.46</v>
      </c>
      <c r="I97" s="691"/>
      <c r="J97" s="691"/>
      <c r="K97" s="691"/>
      <c r="L97" s="690">
        <v>12802</v>
      </c>
      <c r="M97" s="690">
        <v>1631.16</v>
      </c>
      <c r="N97" s="693">
        <v>11170.84</v>
      </c>
      <c r="O97" s="698">
        <f t="shared" si="4"/>
        <v>425.52</v>
      </c>
      <c r="P97" s="699">
        <f t="shared" si="3"/>
        <v>10780.779999999999</v>
      </c>
      <c r="Q97" s="1050"/>
      <c r="R97" s="651"/>
    </row>
    <row r="98" spans="2:18" ht="45.75" customHeight="1" hidden="1" outlineLevel="4">
      <c r="B98" s="1850" t="s">
        <v>270</v>
      </c>
      <c r="C98" s="1850"/>
      <c r="D98" s="690">
        <v>55710</v>
      </c>
      <c r="E98" s="690">
        <v>6944.4</v>
      </c>
      <c r="F98" s="690">
        <v>48765.6</v>
      </c>
      <c r="G98" s="691"/>
      <c r="H98" s="692">
        <v>154.32</v>
      </c>
      <c r="I98" s="691"/>
      <c r="J98" s="691"/>
      <c r="K98" s="691"/>
      <c r="L98" s="690">
        <v>55710</v>
      </c>
      <c r="M98" s="690">
        <v>7098.72</v>
      </c>
      <c r="N98" s="693">
        <v>48611.28</v>
      </c>
      <c r="O98" s="698">
        <f t="shared" si="4"/>
        <v>1851.84</v>
      </c>
      <c r="P98" s="699">
        <f t="shared" si="3"/>
        <v>46913.76</v>
      </c>
      <c r="Q98" s="1050"/>
      <c r="R98" s="651"/>
    </row>
    <row r="99" spans="2:18" ht="57" customHeight="1" hidden="1" outlineLevel="4">
      <c r="B99" s="1850" t="s">
        <v>271</v>
      </c>
      <c r="C99" s="1850"/>
      <c r="D99" s="690">
        <v>34318</v>
      </c>
      <c r="E99" s="690">
        <v>4277.7</v>
      </c>
      <c r="F99" s="690">
        <v>30040.3</v>
      </c>
      <c r="G99" s="691"/>
      <c r="H99" s="692">
        <v>95.06</v>
      </c>
      <c r="I99" s="691"/>
      <c r="J99" s="691"/>
      <c r="K99" s="691"/>
      <c r="L99" s="690">
        <v>34318</v>
      </c>
      <c r="M99" s="690">
        <v>4372.76</v>
      </c>
      <c r="N99" s="693">
        <v>29945.24</v>
      </c>
      <c r="O99" s="698">
        <f t="shared" si="4"/>
        <v>1140.72</v>
      </c>
      <c r="P99" s="699">
        <f t="shared" si="3"/>
        <v>28899.579999999998</v>
      </c>
      <c r="Q99" s="1050"/>
      <c r="R99" s="651"/>
    </row>
    <row r="100" spans="2:18" ht="57" customHeight="1" hidden="1" outlineLevel="4">
      <c r="B100" s="1850" t="s">
        <v>272</v>
      </c>
      <c r="C100" s="1850"/>
      <c r="D100" s="690">
        <v>9805</v>
      </c>
      <c r="E100" s="690">
        <v>1222.2</v>
      </c>
      <c r="F100" s="690">
        <v>8582.8</v>
      </c>
      <c r="G100" s="691"/>
      <c r="H100" s="692">
        <v>27.16</v>
      </c>
      <c r="I100" s="691"/>
      <c r="J100" s="691"/>
      <c r="K100" s="691"/>
      <c r="L100" s="690">
        <v>9805</v>
      </c>
      <c r="M100" s="690">
        <v>1249.36</v>
      </c>
      <c r="N100" s="693">
        <v>8555.64</v>
      </c>
      <c r="O100" s="698">
        <f t="shared" si="4"/>
        <v>325.92</v>
      </c>
      <c r="P100" s="699">
        <f t="shared" si="3"/>
        <v>8256.88</v>
      </c>
      <c r="Q100" s="1050"/>
      <c r="R100" s="651"/>
    </row>
    <row r="101" spans="2:18" ht="57" customHeight="1" hidden="1" outlineLevel="4">
      <c r="B101" s="1850" t="s">
        <v>273</v>
      </c>
      <c r="C101" s="1850"/>
      <c r="D101" s="690">
        <v>67298</v>
      </c>
      <c r="E101" s="690">
        <v>8388.9</v>
      </c>
      <c r="F101" s="690">
        <v>58909.1</v>
      </c>
      <c r="G101" s="691"/>
      <c r="H101" s="692">
        <v>186.42</v>
      </c>
      <c r="I101" s="691"/>
      <c r="J101" s="691"/>
      <c r="K101" s="691"/>
      <c r="L101" s="690">
        <v>67298</v>
      </c>
      <c r="M101" s="690">
        <v>8575.32</v>
      </c>
      <c r="N101" s="693">
        <v>58722.68</v>
      </c>
      <c r="O101" s="698">
        <f t="shared" si="4"/>
        <v>2237.04</v>
      </c>
      <c r="P101" s="699">
        <f t="shared" si="3"/>
        <v>56672.06</v>
      </c>
      <c r="Q101" s="1050"/>
      <c r="R101" s="651"/>
    </row>
    <row r="102" spans="2:18" ht="57" customHeight="1" hidden="1" outlineLevel="4">
      <c r="B102" s="1850" t="s">
        <v>274</v>
      </c>
      <c r="C102" s="1850"/>
      <c r="D102" s="690">
        <v>29443</v>
      </c>
      <c r="E102" s="690">
        <v>3670.2</v>
      </c>
      <c r="F102" s="690">
        <v>25772.8</v>
      </c>
      <c r="G102" s="691"/>
      <c r="H102" s="692">
        <v>81.56</v>
      </c>
      <c r="I102" s="691"/>
      <c r="J102" s="691"/>
      <c r="K102" s="691"/>
      <c r="L102" s="690">
        <v>29443</v>
      </c>
      <c r="M102" s="690">
        <v>3751.76</v>
      </c>
      <c r="N102" s="693">
        <v>25691.24</v>
      </c>
      <c r="O102" s="698">
        <f t="shared" si="4"/>
        <v>978.72</v>
      </c>
      <c r="P102" s="699">
        <f t="shared" si="3"/>
        <v>24794.079999999998</v>
      </c>
      <c r="Q102" s="1050"/>
      <c r="R102" s="651"/>
    </row>
    <row r="103" spans="2:18" ht="57" customHeight="1" hidden="1" outlineLevel="4">
      <c r="B103" s="1850" t="s">
        <v>275</v>
      </c>
      <c r="C103" s="1850"/>
      <c r="D103" s="690">
        <v>17827</v>
      </c>
      <c r="E103" s="690">
        <v>2222.1</v>
      </c>
      <c r="F103" s="690">
        <v>15604.9</v>
      </c>
      <c r="G103" s="691"/>
      <c r="H103" s="692">
        <v>49.38</v>
      </c>
      <c r="I103" s="691"/>
      <c r="J103" s="691"/>
      <c r="K103" s="691"/>
      <c r="L103" s="690">
        <v>17827</v>
      </c>
      <c r="M103" s="690">
        <v>2271.48</v>
      </c>
      <c r="N103" s="693">
        <v>15555.52</v>
      </c>
      <c r="O103" s="698">
        <f t="shared" si="4"/>
        <v>592.5600000000001</v>
      </c>
      <c r="P103" s="699">
        <f t="shared" si="3"/>
        <v>15012.34</v>
      </c>
      <c r="Q103" s="1050"/>
      <c r="R103" s="651"/>
    </row>
    <row r="104" spans="2:18" ht="57" customHeight="1" hidden="1" outlineLevel="4">
      <c r="B104" s="1850" t="s">
        <v>276</v>
      </c>
      <c r="C104" s="1850"/>
      <c r="D104" s="690">
        <v>12802</v>
      </c>
      <c r="E104" s="690">
        <v>1595.7</v>
      </c>
      <c r="F104" s="690">
        <v>11206.3</v>
      </c>
      <c r="G104" s="691"/>
      <c r="H104" s="692">
        <v>35.46</v>
      </c>
      <c r="I104" s="691"/>
      <c r="J104" s="691"/>
      <c r="K104" s="691"/>
      <c r="L104" s="690">
        <v>12802</v>
      </c>
      <c r="M104" s="690">
        <v>1631.16</v>
      </c>
      <c r="N104" s="693">
        <v>11170.84</v>
      </c>
      <c r="O104" s="698">
        <f t="shared" si="4"/>
        <v>425.52</v>
      </c>
      <c r="P104" s="699">
        <f t="shared" si="3"/>
        <v>10780.779999999999</v>
      </c>
      <c r="Q104" s="1050"/>
      <c r="R104" s="651"/>
    </row>
    <row r="105" spans="2:18" ht="57" customHeight="1" hidden="1" outlineLevel="4">
      <c r="B105" s="1850" t="s">
        <v>345</v>
      </c>
      <c r="C105" s="1850"/>
      <c r="D105" s="690">
        <v>23469</v>
      </c>
      <c r="E105" s="690">
        <v>2925.45</v>
      </c>
      <c r="F105" s="690">
        <v>20543.55</v>
      </c>
      <c r="G105" s="691"/>
      <c r="H105" s="692">
        <v>65.01</v>
      </c>
      <c r="I105" s="691"/>
      <c r="J105" s="691"/>
      <c r="K105" s="691"/>
      <c r="L105" s="690">
        <v>23469</v>
      </c>
      <c r="M105" s="690">
        <v>2990.46</v>
      </c>
      <c r="N105" s="693">
        <v>20478.54</v>
      </c>
      <c r="O105" s="698">
        <f t="shared" si="4"/>
        <v>780.1200000000001</v>
      </c>
      <c r="P105" s="699">
        <f t="shared" si="3"/>
        <v>19763.43</v>
      </c>
      <c r="Q105" s="1050"/>
      <c r="R105" s="651"/>
    </row>
    <row r="106" spans="2:18" ht="57" customHeight="1" hidden="1" outlineLevel="4">
      <c r="B106" s="1850" t="s">
        <v>642</v>
      </c>
      <c r="C106" s="1850"/>
      <c r="D106" s="690">
        <v>21393</v>
      </c>
      <c r="E106" s="690">
        <v>2666.7</v>
      </c>
      <c r="F106" s="690">
        <v>18726.3</v>
      </c>
      <c r="G106" s="691"/>
      <c r="H106" s="692">
        <v>59.26</v>
      </c>
      <c r="I106" s="691"/>
      <c r="J106" s="691"/>
      <c r="K106" s="691"/>
      <c r="L106" s="690">
        <v>21393</v>
      </c>
      <c r="M106" s="690">
        <v>2725.96</v>
      </c>
      <c r="N106" s="693">
        <v>18667.04</v>
      </c>
      <c r="O106" s="698">
        <f t="shared" si="4"/>
        <v>711.12</v>
      </c>
      <c r="P106" s="699">
        <f t="shared" si="3"/>
        <v>18015.18</v>
      </c>
      <c r="Q106" s="1050"/>
      <c r="R106" s="651"/>
    </row>
    <row r="107" spans="2:18" ht="68.25" customHeight="1" hidden="1" outlineLevel="4">
      <c r="B107" s="1850" t="s">
        <v>643</v>
      </c>
      <c r="C107" s="1850"/>
      <c r="D107" s="690">
        <v>26741</v>
      </c>
      <c r="E107" s="690">
        <v>3333.15</v>
      </c>
      <c r="F107" s="690">
        <v>23407.85</v>
      </c>
      <c r="G107" s="691"/>
      <c r="H107" s="692">
        <v>74.07</v>
      </c>
      <c r="I107" s="691"/>
      <c r="J107" s="691"/>
      <c r="K107" s="691"/>
      <c r="L107" s="690">
        <v>26741</v>
      </c>
      <c r="M107" s="690">
        <v>3407.22</v>
      </c>
      <c r="N107" s="693">
        <v>23333.78</v>
      </c>
      <c r="O107" s="698">
        <f t="shared" si="4"/>
        <v>888.8399999999999</v>
      </c>
      <c r="P107" s="699">
        <f t="shared" si="3"/>
        <v>22519.01</v>
      </c>
      <c r="Q107" s="1050"/>
      <c r="R107" s="651"/>
    </row>
    <row r="108" spans="2:18" ht="68.25" customHeight="1" hidden="1" outlineLevel="4">
      <c r="B108" s="1850" t="s">
        <v>644</v>
      </c>
      <c r="C108" s="1850"/>
      <c r="D108" s="690">
        <v>6401</v>
      </c>
      <c r="E108" s="692">
        <v>797.85</v>
      </c>
      <c r="F108" s="690">
        <v>5603.15</v>
      </c>
      <c r="G108" s="691"/>
      <c r="H108" s="692">
        <v>17.73</v>
      </c>
      <c r="I108" s="691"/>
      <c r="J108" s="691"/>
      <c r="K108" s="691"/>
      <c r="L108" s="690">
        <v>6401</v>
      </c>
      <c r="M108" s="692">
        <v>815.58</v>
      </c>
      <c r="N108" s="693">
        <v>5585.42</v>
      </c>
      <c r="O108" s="698">
        <f t="shared" si="4"/>
        <v>212.76</v>
      </c>
      <c r="P108" s="699">
        <f t="shared" si="3"/>
        <v>5390.389999999999</v>
      </c>
      <c r="Q108" s="1050"/>
      <c r="R108" s="651"/>
    </row>
    <row r="109" spans="2:18" ht="57" customHeight="1" hidden="1" outlineLevel="4">
      <c r="B109" s="1850" t="s">
        <v>645</v>
      </c>
      <c r="C109" s="1850"/>
      <c r="D109" s="690">
        <v>14935</v>
      </c>
      <c r="E109" s="690">
        <v>1861.65</v>
      </c>
      <c r="F109" s="690">
        <v>13073.35</v>
      </c>
      <c r="G109" s="691"/>
      <c r="H109" s="692">
        <v>41.37</v>
      </c>
      <c r="I109" s="691"/>
      <c r="J109" s="691"/>
      <c r="K109" s="691"/>
      <c r="L109" s="690">
        <v>14935</v>
      </c>
      <c r="M109" s="690">
        <v>1903.02</v>
      </c>
      <c r="N109" s="693">
        <v>13031.98</v>
      </c>
      <c r="O109" s="698">
        <f t="shared" si="4"/>
        <v>496.43999999999994</v>
      </c>
      <c r="P109" s="699">
        <f t="shared" si="3"/>
        <v>12576.91</v>
      </c>
      <c r="Q109" s="1050"/>
      <c r="R109" s="651"/>
    </row>
    <row r="110" spans="2:18" ht="57" customHeight="1" hidden="1" outlineLevel="4">
      <c r="B110" s="1850" t="s">
        <v>646</v>
      </c>
      <c r="C110" s="1850"/>
      <c r="D110" s="690">
        <v>27523</v>
      </c>
      <c r="E110" s="690">
        <v>3430.8</v>
      </c>
      <c r="F110" s="690">
        <v>24092.2</v>
      </c>
      <c r="G110" s="691"/>
      <c r="H110" s="692">
        <v>76.24</v>
      </c>
      <c r="I110" s="691"/>
      <c r="J110" s="691"/>
      <c r="K110" s="691"/>
      <c r="L110" s="690">
        <v>27523</v>
      </c>
      <c r="M110" s="690">
        <v>3507.04</v>
      </c>
      <c r="N110" s="693">
        <v>24015.96</v>
      </c>
      <c r="O110" s="698">
        <f t="shared" si="4"/>
        <v>914.8799999999999</v>
      </c>
      <c r="P110" s="699">
        <f t="shared" si="3"/>
        <v>23177.32</v>
      </c>
      <c r="Q110" s="1050"/>
      <c r="R110" s="651"/>
    </row>
    <row r="111" spans="2:18" ht="68.25" customHeight="1" hidden="1" outlineLevel="4">
      <c r="B111" s="1850" t="s">
        <v>647</v>
      </c>
      <c r="C111" s="1850"/>
      <c r="D111" s="690">
        <v>47465</v>
      </c>
      <c r="E111" s="690">
        <v>5916.6</v>
      </c>
      <c r="F111" s="690">
        <v>41548.4</v>
      </c>
      <c r="G111" s="691"/>
      <c r="H111" s="692">
        <v>131.48</v>
      </c>
      <c r="I111" s="691"/>
      <c r="J111" s="691"/>
      <c r="K111" s="691"/>
      <c r="L111" s="690">
        <v>47465</v>
      </c>
      <c r="M111" s="690">
        <v>6048.08</v>
      </c>
      <c r="N111" s="693">
        <v>41416.92</v>
      </c>
      <c r="O111" s="698">
        <f t="shared" si="4"/>
        <v>1577.7599999999998</v>
      </c>
      <c r="P111" s="699">
        <f t="shared" si="3"/>
        <v>39970.64</v>
      </c>
      <c r="Q111" s="1050"/>
      <c r="R111" s="651"/>
    </row>
    <row r="112" spans="2:18" ht="68.25" customHeight="1" hidden="1" outlineLevel="4">
      <c r="B112" s="1850" t="s">
        <v>648</v>
      </c>
      <c r="C112" s="1850"/>
      <c r="D112" s="690">
        <v>19629</v>
      </c>
      <c r="E112" s="690">
        <v>2446.65</v>
      </c>
      <c r="F112" s="690">
        <v>17182.35</v>
      </c>
      <c r="G112" s="691"/>
      <c r="H112" s="692">
        <v>54.37</v>
      </c>
      <c r="I112" s="691"/>
      <c r="J112" s="691"/>
      <c r="K112" s="691"/>
      <c r="L112" s="690">
        <v>19629</v>
      </c>
      <c r="M112" s="690">
        <v>2501.02</v>
      </c>
      <c r="N112" s="693">
        <v>17127.98</v>
      </c>
      <c r="O112" s="698">
        <f t="shared" si="4"/>
        <v>652.4399999999999</v>
      </c>
      <c r="P112" s="699">
        <f t="shared" si="3"/>
        <v>16529.91</v>
      </c>
      <c r="Q112" s="1050"/>
      <c r="R112" s="651"/>
    </row>
    <row r="113" spans="2:18" ht="57" customHeight="1" hidden="1" outlineLevel="4">
      <c r="B113" s="1850" t="s">
        <v>35</v>
      </c>
      <c r="C113" s="1850"/>
      <c r="D113" s="690">
        <v>75398</v>
      </c>
      <c r="E113" s="690">
        <v>9398.7</v>
      </c>
      <c r="F113" s="690">
        <v>65999.3</v>
      </c>
      <c r="G113" s="691"/>
      <c r="H113" s="692">
        <v>208.86</v>
      </c>
      <c r="I113" s="691"/>
      <c r="J113" s="691"/>
      <c r="K113" s="691"/>
      <c r="L113" s="690">
        <v>75398</v>
      </c>
      <c r="M113" s="690">
        <v>9607.56</v>
      </c>
      <c r="N113" s="693">
        <v>65790.44</v>
      </c>
      <c r="O113" s="698">
        <f t="shared" si="4"/>
        <v>2506.32</v>
      </c>
      <c r="P113" s="699">
        <f t="shared" si="3"/>
        <v>63492.98</v>
      </c>
      <c r="Q113" s="1050"/>
      <c r="R113" s="651"/>
    </row>
    <row r="114" spans="2:18" ht="68.25" customHeight="1" hidden="1" outlineLevel="4">
      <c r="B114" s="1850" t="s">
        <v>36</v>
      </c>
      <c r="C114" s="1850"/>
      <c r="D114" s="690">
        <v>78886</v>
      </c>
      <c r="E114" s="690">
        <v>9833.4</v>
      </c>
      <c r="F114" s="690">
        <v>69052.6</v>
      </c>
      <c r="G114" s="691"/>
      <c r="H114" s="692">
        <v>218.52</v>
      </c>
      <c r="I114" s="691"/>
      <c r="J114" s="691"/>
      <c r="K114" s="691"/>
      <c r="L114" s="690">
        <v>78886</v>
      </c>
      <c r="M114" s="690">
        <v>10051.92</v>
      </c>
      <c r="N114" s="693">
        <v>68834.08</v>
      </c>
      <c r="O114" s="698">
        <f t="shared" si="4"/>
        <v>2622.2400000000002</v>
      </c>
      <c r="P114" s="699">
        <f t="shared" si="3"/>
        <v>66430.36</v>
      </c>
      <c r="Q114" s="1050"/>
      <c r="R114" s="651"/>
    </row>
    <row r="115" spans="2:18" ht="45.75" customHeight="1" hidden="1" outlineLevel="4">
      <c r="B115" s="1850" t="s">
        <v>37</v>
      </c>
      <c r="C115" s="1850"/>
      <c r="D115" s="690">
        <v>23621</v>
      </c>
      <c r="E115" s="690">
        <v>2944.35</v>
      </c>
      <c r="F115" s="690">
        <v>20676.65</v>
      </c>
      <c r="G115" s="691"/>
      <c r="H115" s="692">
        <v>65.43</v>
      </c>
      <c r="I115" s="691"/>
      <c r="J115" s="691"/>
      <c r="K115" s="691"/>
      <c r="L115" s="690">
        <v>23621</v>
      </c>
      <c r="M115" s="690">
        <v>3009.78</v>
      </c>
      <c r="N115" s="693">
        <v>20611.22</v>
      </c>
      <c r="O115" s="698">
        <f t="shared" si="4"/>
        <v>785.1600000000001</v>
      </c>
      <c r="P115" s="699">
        <f t="shared" si="3"/>
        <v>19891.49</v>
      </c>
      <c r="Q115" s="1050"/>
      <c r="R115" s="651"/>
    </row>
    <row r="116" spans="2:18" ht="68.25" customHeight="1" hidden="1" outlineLevel="4">
      <c r="B116" s="1850" t="s">
        <v>38</v>
      </c>
      <c r="C116" s="1850"/>
      <c r="D116" s="690">
        <v>14935</v>
      </c>
      <c r="E116" s="690">
        <v>1861.65</v>
      </c>
      <c r="F116" s="690">
        <v>13073.35</v>
      </c>
      <c r="G116" s="691"/>
      <c r="H116" s="692">
        <v>41.37</v>
      </c>
      <c r="I116" s="691"/>
      <c r="J116" s="691"/>
      <c r="K116" s="691"/>
      <c r="L116" s="690">
        <v>14935</v>
      </c>
      <c r="M116" s="690">
        <v>1903.02</v>
      </c>
      <c r="N116" s="693">
        <v>13031.98</v>
      </c>
      <c r="O116" s="698">
        <f t="shared" si="4"/>
        <v>496.43999999999994</v>
      </c>
      <c r="P116" s="699">
        <f t="shared" si="3"/>
        <v>12576.91</v>
      </c>
      <c r="Q116" s="1050"/>
      <c r="R116" s="651"/>
    </row>
    <row r="117" spans="2:18" ht="57" customHeight="1" hidden="1" outlineLevel="4">
      <c r="B117" s="1850" t="s">
        <v>39</v>
      </c>
      <c r="C117" s="1850"/>
      <c r="D117" s="690">
        <v>23043</v>
      </c>
      <c r="E117" s="690">
        <v>2872.35</v>
      </c>
      <c r="F117" s="690">
        <v>20170.65</v>
      </c>
      <c r="G117" s="691"/>
      <c r="H117" s="692">
        <v>63.83</v>
      </c>
      <c r="I117" s="691"/>
      <c r="J117" s="691"/>
      <c r="K117" s="691"/>
      <c r="L117" s="690">
        <v>23043</v>
      </c>
      <c r="M117" s="690">
        <v>2936.18</v>
      </c>
      <c r="N117" s="693">
        <v>20106.82</v>
      </c>
      <c r="O117" s="698">
        <f t="shared" si="4"/>
        <v>765.96</v>
      </c>
      <c r="P117" s="699">
        <f t="shared" si="3"/>
        <v>19404.690000000002</v>
      </c>
      <c r="Q117" s="1050"/>
      <c r="R117" s="651"/>
    </row>
    <row r="118" spans="2:18" ht="45.75" customHeight="1" hidden="1" outlineLevel="4">
      <c r="B118" s="1850" t="s">
        <v>40</v>
      </c>
      <c r="C118" s="1850"/>
      <c r="D118" s="690">
        <v>13228</v>
      </c>
      <c r="E118" s="690">
        <v>1648.8</v>
      </c>
      <c r="F118" s="690">
        <v>11579.2</v>
      </c>
      <c r="G118" s="691"/>
      <c r="H118" s="692">
        <v>36.64</v>
      </c>
      <c r="I118" s="691"/>
      <c r="J118" s="691"/>
      <c r="K118" s="691"/>
      <c r="L118" s="690">
        <v>13228</v>
      </c>
      <c r="M118" s="690">
        <v>1685.44</v>
      </c>
      <c r="N118" s="693">
        <v>11542.56</v>
      </c>
      <c r="O118" s="698">
        <f t="shared" si="4"/>
        <v>439.68</v>
      </c>
      <c r="P118" s="699">
        <f t="shared" si="3"/>
        <v>11139.52</v>
      </c>
      <c r="Q118" s="1050"/>
      <c r="R118" s="651"/>
    </row>
    <row r="119" spans="2:18" ht="45.75" customHeight="1" hidden="1" outlineLevel="4">
      <c r="B119" s="1850" t="s">
        <v>41</v>
      </c>
      <c r="C119" s="1850"/>
      <c r="D119" s="690">
        <v>12802</v>
      </c>
      <c r="E119" s="690">
        <v>1595.7</v>
      </c>
      <c r="F119" s="690">
        <v>11206.3</v>
      </c>
      <c r="G119" s="691"/>
      <c r="H119" s="692">
        <v>35.46</v>
      </c>
      <c r="I119" s="691"/>
      <c r="J119" s="691"/>
      <c r="K119" s="691"/>
      <c r="L119" s="690">
        <v>12802</v>
      </c>
      <c r="M119" s="690">
        <v>1631.16</v>
      </c>
      <c r="N119" s="693">
        <v>11170.84</v>
      </c>
      <c r="O119" s="698">
        <f t="shared" si="4"/>
        <v>425.52</v>
      </c>
      <c r="P119" s="699">
        <f t="shared" si="3"/>
        <v>10780.779999999999</v>
      </c>
      <c r="Q119" s="1050"/>
      <c r="R119" s="651"/>
    </row>
    <row r="120" spans="2:18" ht="57" customHeight="1" hidden="1" outlineLevel="4">
      <c r="B120" s="1850" t="s">
        <v>42</v>
      </c>
      <c r="C120" s="1850"/>
      <c r="D120" s="690">
        <v>186547</v>
      </c>
      <c r="E120" s="690">
        <v>23253.75</v>
      </c>
      <c r="F120" s="690">
        <v>163293.25</v>
      </c>
      <c r="G120" s="691"/>
      <c r="H120" s="692">
        <v>516.75</v>
      </c>
      <c r="I120" s="691"/>
      <c r="J120" s="691"/>
      <c r="K120" s="691"/>
      <c r="L120" s="690">
        <v>186547</v>
      </c>
      <c r="M120" s="690">
        <v>23770.5</v>
      </c>
      <c r="N120" s="693">
        <v>162776.5</v>
      </c>
      <c r="O120" s="698">
        <f t="shared" si="4"/>
        <v>6201</v>
      </c>
      <c r="P120" s="699">
        <f t="shared" si="3"/>
        <v>157092.25</v>
      </c>
      <c r="Q120" s="1050"/>
      <c r="R120" s="651"/>
    </row>
    <row r="121" spans="2:18" ht="68.25" customHeight="1" hidden="1" outlineLevel="4">
      <c r="B121" s="1850" t="s">
        <v>1115</v>
      </c>
      <c r="C121" s="1850"/>
      <c r="D121" s="690">
        <v>25850</v>
      </c>
      <c r="E121" s="690">
        <v>3222.45</v>
      </c>
      <c r="F121" s="690">
        <v>22627.55</v>
      </c>
      <c r="G121" s="691"/>
      <c r="H121" s="692">
        <v>71.61</v>
      </c>
      <c r="I121" s="691"/>
      <c r="J121" s="691"/>
      <c r="K121" s="691"/>
      <c r="L121" s="690">
        <v>25850</v>
      </c>
      <c r="M121" s="690">
        <v>3294.06</v>
      </c>
      <c r="N121" s="693">
        <v>22555.94</v>
      </c>
      <c r="O121" s="698">
        <f t="shared" si="4"/>
        <v>859.3199999999999</v>
      </c>
      <c r="P121" s="699">
        <f t="shared" si="3"/>
        <v>21768.23</v>
      </c>
      <c r="Q121" s="1050"/>
      <c r="R121" s="651"/>
    </row>
    <row r="122" spans="2:18" ht="68.25" customHeight="1" hidden="1" outlineLevel="4">
      <c r="B122" s="1850" t="s">
        <v>1116</v>
      </c>
      <c r="C122" s="1850"/>
      <c r="D122" s="690">
        <v>27162</v>
      </c>
      <c r="E122" s="690">
        <v>3385.8</v>
      </c>
      <c r="F122" s="690">
        <v>23776.2</v>
      </c>
      <c r="G122" s="691"/>
      <c r="H122" s="692">
        <v>75.24</v>
      </c>
      <c r="I122" s="691"/>
      <c r="J122" s="691"/>
      <c r="K122" s="691"/>
      <c r="L122" s="690">
        <v>27162</v>
      </c>
      <c r="M122" s="690">
        <v>3461.04</v>
      </c>
      <c r="N122" s="693">
        <v>23700.96</v>
      </c>
      <c r="O122" s="698">
        <f t="shared" si="4"/>
        <v>902.8799999999999</v>
      </c>
      <c r="P122" s="699">
        <f t="shared" si="3"/>
        <v>22873.32</v>
      </c>
      <c r="Q122" s="1050"/>
      <c r="R122" s="651"/>
    </row>
    <row r="123" spans="2:18" ht="57" customHeight="1" hidden="1" outlineLevel="4">
      <c r="B123" s="1850" t="s">
        <v>1117</v>
      </c>
      <c r="C123" s="1850"/>
      <c r="D123" s="690">
        <v>22730</v>
      </c>
      <c r="E123" s="690">
        <v>2833.2</v>
      </c>
      <c r="F123" s="690">
        <v>19896.8</v>
      </c>
      <c r="G123" s="691"/>
      <c r="H123" s="692">
        <v>62.96</v>
      </c>
      <c r="I123" s="691"/>
      <c r="J123" s="691"/>
      <c r="K123" s="691"/>
      <c r="L123" s="690">
        <v>22730</v>
      </c>
      <c r="M123" s="690">
        <v>2896.16</v>
      </c>
      <c r="N123" s="693">
        <v>19833.84</v>
      </c>
      <c r="O123" s="698">
        <f t="shared" si="4"/>
        <v>755.52</v>
      </c>
      <c r="P123" s="699">
        <f t="shared" si="3"/>
        <v>19141.28</v>
      </c>
      <c r="Q123" s="1050"/>
      <c r="R123" s="651"/>
    </row>
    <row r="124" spans="2:18" ht="68.25" customHeight="1" hidden="1" outlineLevel="4">
      <c r="B124" s="1850" t="s">
        <v>1118</v>
      </c>
      <c r="C124" s="1850"/>
      <c r="D124" s="690">
        <v>178668</v>
      </c>
      <c r="E124" s="690">
        <v>22271.85</v>
      </c>
      <c r="F124" s="690">
        <v>156396.15</v>
      </c>
      <c r="G124" s="691"/>
      <c r="H124" s="692">
        <v>494.93</v>
      </c>
      <c r="I124" s="691"/>
      <c r="J124" s="691"/>
      <c r="K124" s="691"/>
      <c r="L124" s="690">
        <v>178668</v>
      </c>
      <c r="M124" s="690">
        <v>22766.78</v>
      </c>
      <c r="N124" s="693">
        <v>155901.22</v>
      </c>
      <c r="O124" s="698">
        <f t="shared" si="4"/>
        <v>5939.16</v>
      </c>
      <c r="P124" s="699">
        <f t="shared" si="3"/>
        <v>150456.99</v>
      </c>
      <c r="Q124" s="1050"/>
      <c r="R124" s="651"/>
    </row>
    <row r="125" spans="2:18" ht="57" customHeight="1" hidden="1" outlineLevel="4">
      <c r="B125" s="1850" t="s">
        <v>1119</v>
      </c>
      <c r="C125" s="1850"/>
      <c r="D125" s="690">
        <v>28892</v>
      </c>
      <c r="E125" s="690">
        <v>3601.35</v>
      </c>
      <c r="F125" s="690">
        <v>25290.65</v>
      </c>
      <c r="G125" s="691"/>
      <c r="H125" s="692">
        <v>80.03</v>
      </c>
      <c r="I125" s="691"/>
      <c r="J125" s="691"/>
      <c r="K125" s="691"/>
      <c r="L125" s="690">
        <v>28892</v>
      </c>
      <c r="M125" s="690">
        <v>3681.38</v>
      </c>
      <c r="N125" s="693">
        <v>25210.62</v>
      </c>
      <c r="O125" s="698">
        <f t="shared" si="4"/>
        <v>960.36</v>
      </c>
      <c r="P125" s="699">
        <f t="shared" si="3"/>
        <v>24330.29</v>
      </c>
      <c r="Q125" s="1050"/>
      <c r="R125" s="651"/>
    </row>
    <row r="126" spans="2:18" ht="68.25" customHeight="1" hidden="1" outlineLevel="4">
      <c r="B126" s="1850" t="s">
        <v>1120</v>
      </c>
      <c r="C126" s="1850"/>
      <c r="D126" s="690">
        <v>19610</v>
      </c>
      <c r="E126" s="690">
        <v>2444.4</v>
      </c>
      <c r="F126" s="690">
        <v>17165.6</v>
      </c>
      <c r="G126" s="691"/>
      <c r="H126" s="692">
        <v>54.32</v>
      </c>
      <c r="I126" s="691"/>
      <c r="J126" s="691"/>
      <c r="K126" s="691"/>
      <c r="L126" s="690">
        <v>19610</v>
      </c>
      <c r="M126" s="690">
        <v>2498.72</v>
      </c>
      <c r="N126" s="693">
        <v>17111.28</v>
      </c>
      <c r="O126" s="698">
        <f t="shared" si="4"/>
        <v>651.84</v>
      </c>
      <c r="P126" s="699">
        <f t="shared" si="3"/>
        <v>16513.76</v>
      </c>
      <c r="Q126" s="1050"/>
      <c r="R126" s="651"/>
    </row>
    <row r="127" spans="2:18" ht="45.75" customHeight="1" hidden="1" outlineLevel="4">
      <c r="B127" s="1850" t="s">
        <v>1121</v>
      </c>
      <c r="C127" s="1850"/>
      <c r="D127" s="690">
        <v>8108</v>
      </c>
      <c r="E127" s="690">
        <v>1010.7</v>
      </c>
      <c r="F127" s="690">
        <v>7097.3</v>
      </c>
      <c r="G127" s="691"/>
      <c r="H127" s="692">
        <v>22.46</v>
      </c>
      <c r="I127" s="691"/>
      <c r="J127" s="691"/>
      <c r="K127" s="691"/>
      <c r="L127" s="690">
        <v>8108</v>
      </c>
      <c r="M127" s="690">
        <v>1033.16</v>
      </c>
      <c r="N127" s="693">
        <v>7074.84</v>
      </c>
      <c r="O127" s="698">
        <f t="shared" si="4"/>
        <v>269.52</v>
      </c>
      <c r="P127" s="699">
        <f t="shared" si="3"/>
        <v>6827.780000000001</v>
      </c>
      <c r="Q127" s="1050"/>
      <c r="R127" s="651"/>
    </row>
    <row r="128" spans="2:18" ht="57" customHeight="1" hidden="1" outlineLevel="4">
      <c r="B128" s="1850" t="s">
        <v>1122</v>
      </c>
      <c r="C128" s="1850"/>
      <c r="D128" s="690">
        <v>9708</v>
      </c>
      <c r="E128" s="690">
        <v>1210.05</v>
      </c>
      <c r="F128" s="690">
        <v>8497.95</v>
      </c>
      <c r="G128" s="691"/>
      <c r="H128" s="692">
        <v>26.89</v>
      </c>
      <c r="I128" s="691"/>
      <c r="J128" s="691"/>
      <c r="K128" s="691"/>
      <c r="L128" s="690">
        <v>9708</v>
      </c>
      <c r="M128" s="690">
        <v>1236.94</v>
      </c>
      <c r="N128" s="693">
        <v>8471.06</v>
      </c>
      <c r="O128" s="698">
        <f t="shared" si="4"/>
        <v>322.68</v>
      </c>
      <c r="P128" s="699">
        <f t="shared" si="3"/>
        <v>8175.27</v>
      </c>
      <c r="Q128" s="1050"/>
      <c r="R128" s="651"/>
    </row>
    <row r="129" spans="2:18" ht="68.25" customHeight="1" hidden="1" outlineLevel="4">
      <c r="B129" s="1850" t="s">
        <v>1123</v>
      </c>
      <c r="C129" s="1850"/>
      <c r="D129" s="690">
        <v>8321</v>
      </c>
      <c r="E129" s="690">
        <v>1037.25</v>
      </c>
      <c r="F129" s="690">
        <v>7283.75</v>
      </c>
      <c r="G129" s="691"/>
      <c r="H129" s="692">
        <v>23.05</v>
      </c>
      <c r="I129" s="691"/>
      <c r="J129" s="691"/>
      <c r="K129" s="691"/>
      <c r="L129" s="690">
        <v>8321</v>
      </c>
      <c r="M129" s="690">
        <v>1060.3</v>
      </c>
      <c r="N129" s="693">
        <v>7260.7</v>
      </c>
      <c r="O129" s="698">
        <f t="shared" si="4"/>
        <v>276.6</v>
      </c>
      <c r="P129" s="699">
        <f t="shared" si="3"/>
        <v>7007.15</v>
      </c>
      <c r="Q129" s="1050"/>
      <c r="R129" s="651"/>
    </row>
    <row r="130" spans="2:18" ht="68.25" customHeight="1" hidden="1" outlineLevel="4">
      <c r="B130" s="1850" t="s">
        <v>1124</v>
      </c>
      <c r="C130" s="1850"/>
      <c r="D130" s="690">
        <v>5974</v>
      </c>
      <c r="E130" s="692">
        <v>744.75</v>
      </c>
      <c r="F130" s="690">
        <v>5229.25</v>
      </c>
      <c r="G130" s="691"/>
      <c r="H130" s="692">
        <v>16.55</v>
      </c>
      <c r="I130" s="691"/>
      <c r="J130" s="691"/>
      <c r="K130" s="691"/>
      <c r="L130" s="690">
        <v>5974</v>
      </c>
      <c r="M130" s="692">
        <v>761.3</v>
      </c>
      <c r="N130" s="693">
        <v>5212.7</v>
      </c>
      <c r="O130" s="698">
        <f t="shared" si="4"/>
        <v>198.60000000000002</v>
      </c>
      <c r="P130" s="699">
        <f t="shared" si="3"/>
        <v>5030.65</v>
      </c>
      <c r="Q130" s="1050"/>
      <c r="R130" s="651"/>
    </row>
    <row r="131" spans="2:18" ht="68.25" customHeight="1" hidden="1" outlineLevel="4">
      <c r="B131" s="1850" t="s">
        <v>1125</v>
      </c>
      <c r="C131" s="1850"/>
      <c r="D131" s="690">
        <v>6401</v>
      </c>
      <c r="E131" s="692">
        <v>797.85</v>
      </c>
      <c r="F131" s="690">
        <v>5603.15</v>
      </c>
      <c r="G131" s="691"/>
      <c r="H131" s="692">
        <v>17.73</v>
      </c>
      <c r="I131" s="691"/>
      <c r="J131" s="691"/>
      <c r="K131" s="691"/>
      <c r="L131" s="690">
        <v>6401</v>
      </c>
      <c r="M131" s="692">
        <v>815.58</v>
      </c>
      <c r="N131" s="693">
        <v>5585.42</v>
      </c>
      <c r="O131" s="698">
        <f t="shared" si="4"/>
        <v>212.76</v>
      </c>
      <c r="P131" s="699">
        <f t="shared" si="3"/>
        <v>5390.389999999999</v>
      </c>
      <c r="Q131" s="1050"/>
      <c r="R131" s="651"/>
    </row>
    <row r="132" spans="2:18" ht="45.75" customHeight="1" hidden="1" outlineLevel="4">
      <c r="B132" s="1850" t="s">
        <v>1126</v>
      </c>
      <c r="C132" s="1850"/>
      <c r="D132" s="690">
        <v>10241</v>
      </c>
      <c r="E132" s="690">
        <v>1276.65</v>
      </c>
      <c r="F132" s="690">
        <v>8964.35</v>
      </c>
      <c r="G132" s="691"/>
      <c r="H132" s="692">
        <v>28.37</v>
      </c>
      <c r="I132" s="691"/>
      <c r="J132" s="691"/>
      <c r="K132" s="691"/>
      <c r="L132" s="690">
        <v>10241</v>
      </c>
      <c r="M132" s="690">
        <v>1305.02</v>
      </c>
      <c r="N132" s="693">
        <v>8935.98</v>
      </c>
      <c r="O132" s="698">
        <f t="shared" si="4"/>
        <v>340.44</v>
      </c>
      <c r="P132" s="699">
        <f t="shared" si="3"/>
        <v>8623.91</v>
      </c>
      <c r="Q132" s="1050"/>
      <c r="R132" s="651"/>
    </row>
    <row r="133" spans="2:18" ht="68.25" customHeight="1" hidden="1" outlineLevel="4">
      <c r="B133" s="1850" t="s">
        <v>1127</v>
      </c>
      <c r="C133" s="1850"/>
      <c r="D133" s="690">
        <v>6812</v>
      </c>
      <c r="E133" s="692">
        <v>849.15</v>
      </c>
      <c r="F133" s="690">
        <v>5962.85</v>
      </c>
      <c r="G133" s="691"/>
      <c r="H133" s="692">
        <v>18.87</v>
      </c>
      <c r="I133" s="691"/>
      <c r="J133" s="691"/>
      <c r="K133" s="691"/>
      <c r="L133" s="690">
        <v>6812</v>
      </c>
      <c r="M133" s="692">
        <v>868.02</v>
      </c>
      <c r="N133" s="693">
        <v>5943.98</v>
      </c>
      <c r="O133" s="698">
        <f t="shared" si="4"/>
        <v>226.44</v>
      </c>
      <c r="P133" s="699">
        <f t="shared" si="3"/>
        <v>5736.410000000001</v>
      </c>
      <c r="Q133" s="1050"/>
      <c r="R133" s="651"/>
    </row>
    <row r="134" spans="2:18" ht="68.25" customHeight="1" hidden="1" outlineLevel="4">
      <c r="B134" s="1850" t="s">
        <v>1128</v>
      </c>
      <c r="C134" s="1850"/>
      <c r="D134" s="690">
        <v>1792</v>
      </c>
      <c r="E134" s="692">
        <v>223.2</v>
      </c>
      <c r="F134" s="690">
        <v>1568.8</v>
      </c>
      <c r="G134" s="691"/>
      <c r="H134" s="692">
        <v>4.96</v>
      </c>
      <c r="I134" s="691"/>
      <c r="J134" s="691"/>
      <c r="K134" s="691"/>
      <c r="L134" s="690">
        <v>1792</v>
      </c>
      <c r="M134" s="692">
        <v>228.16</v>
      </c>
      <c r="N134" s="693">
        <v>1563.84</v>
      </c>
      <c r="O134" s="698">
        <f t="shared" si="4"/>
        <v>59.519999999999996</v>
      </c>
      <c r="P134" s="699">
        <f t="shared" si="3"/>
        <v>1509.28</v>
      </c>
      <c r="Q134" s="1050"/>
      <c r="R134" s="651"/>
    </row>
    <row r="135" spans="2:18" ht="68.25" customHeight="1" hidden="1" outlineLevel="4">
      <c r="B135" s="1850" t="s">
        <v>1129</v>
      </c>
      <c r="C135" s="1850"/>
      <c r="D135" s="690">
        <v>20554</v>
      </c>
      <c r="E135" s="690">
        <v>2562.3</v>
      </c>
      <c r="F135" s="690">
        <v>17991.7</v>
      </c>
      <c r="G135" s="691"/>
      <c r="H135" s="692">
        <v>56.94</v>
      </c>
      <c r="I135" s="691"/>
      <c r="J135" s="691"/>
      <c r="K135" s="691"/>
      <c r="L135" s="690">
        <v>20554</v>
      </c>
      <c r="M135" s="690">
        <v>2619.24</v>
      </c>
      <c r="N135" s="693">
        <v>17934.76</v>
      </c>
      <c r="O135" s="698">
        <f t="shared" si="4"/>
        <v>683.28</v>
      </c>
      <c r="P135" s="699">
        <f t="shared" si="3"/>
        <v>17308.420000000002</v>
      </c>
      <c r="Q135" s="1050"/>
      <c r="R135" s="651"/>
    </row>
    <row r="136" spans="2:18" ht="68.25" customHeight="1" hidden="1" outlineLevel="4">
      <c r="B136" s="1850" t="s">
        <v>1130</v>
      </c>
      <c r="C136" s="1850"/>
      <c r="D136" s="690">
        <v>13228</v>
      </c>
      <c r="E136" s="690">
        <v>1648.8</v>
      </c>
      <c r="F136" s="690">
        <v>11579.2</v>
      </c>
      <c r="G136" s="691"/>
      <c r="H136" s="692">
        <v>36.64</v>
      </c>
      <c r="I136" s="691"/>
      <c r="J136" s="691"/>
      <c r="K136" s="691"/>
      <c r="L136" s="690">
        <v>13228</v>
      </c>
      <c r="M136" s="690">
        <v>1685.44</v>
      </c>
      <c r="N136" s="693">
        <v>11542.56</v>
      </c>
      <c r="O136" s="698">
        <f t="shared" si="4"/>
        <v>439.68</v>
      </c>
      <c r="P136" s="699">
        <f t="shared" si="3"/>
        <v>11139.52</v>
      </c>
      <c r="Q136" s="1050"/>
      <c r="R136" s="651"/>
    </row>
    <row r="137" spans="2:18" ht="68.25" customHeight="1" hidden="1" outlineLevel="4">
      <c r="B137" s="1850" t="s">
        <v>1131</v>
      </c>
      <c r="C137" s="1850"/>
      <c r="D137" s="690">
        <v>12479</v>
      </c>
      <c r="E137" s="690">
        <v>1555.65</v>
      </c>
      <c r="F137" s="690">
        <v>10923.35</v>
      </c>
      <c r="G137" s="691"/>
      <c r="H137" s="692">
        <v>34.57</v>
      </c>
      <c r="I137" s="691"/>
      <c r="J137" s="691"/>
      <c r="K137" s="691"/>
      <c r="L137" s="690">
        <v>12479</v>
      </c>
      <c r="M137" s="690">
        <v>1590.22</v>
      </c>
      <c r="N137" s="693">
        <v>10888.78</v>
      </c>
      <c r="O137" s="698">
        <f t="shared" si="4"/>
        <v>414.84000000000003</v>
      </c>
      <c r="P137" s="699">
        <f t="shared" si="3"/>
        <v>10508.51</v>
      </c>
      <c r="Q137" s="1050"/>
      <c r="R137" s="651"/>
    </row>
    <row r="138" spans="2:18" ht="68.25" customHeight="1" hidden="1" outlineLevel="4">
      <c r="B138" s="1850" t="s">
        <v>1132</v>
      </c>
      <c r="C138" s="1850"/>
      <c r="D138" s="690">
        <v>19610</v>
      </c>
      <c r="E138" s="690">
        <v>2444.4</v>
      </c>
      <c r="F138" s="690">
        <v>17165.6</v>
      </c>
      <c r="G138" s="691"/>
      <c r="H138" s="692">
        <v>54.32</v>
      </c>
      <c r="I138" s="691"/>
      <c r="J138" s="691"/>
      <c r="K138" s="691"/>
      <c r="L138" s="690">
        <v>19610</v>
      </c>
      <c r="M138" s="690">
        <v>2498.72</v>
      </c>
      <c r="N138" s="693">
        <v>17111.28</v>
      </c>
      <c r="O138" s="698">
        <f t="shared" si="4"/>
        <v>651.84</v>
      </c>
      <c r="P138" s="699">
        <f t="shared" si="3"/>
        <v>16513.76</v>
      </c>
      <c r="Q138" s="1050"/>
      <c r="R138" s="651"/>
    </row>
    <row r="139" spans="2:18" ht="57" customHeight="1" hidden="1" outlineLevel="4">
      <c r="B139" s="1850" t="s">
        <v>1133</v>
      </c>
      <c r="C139" s="1850"/>
      <c r="D139" s="690">
        <v>18050</v>
      </c>
      <c r="E139" s="690">
        <v>2250</v>
      </c>
      <c r="F139" s="690">
        <v>15800</v>
      </c>
      <c r="G139" s="691"/>
      <c r="H139" s="692">
        <v>50</v>
      </c>
      <c r="I139" s="691"/>
      <c r="J139" s="691"/>
      <c r="K139" s="691"/>
      <c r="L139" s="690">
        <v>18050</v>
      </c>
      <c r="M139" s="690">
        <v>2300</v>
      </c>
      <c r="N139" s="693">
        <v>15750</v>
      </c>
      <c r="O139" s="698">
        <f t="shared" si="4"/>
        <v>600</v>
      </c>
      <c r="P139" s="699">
        <f t="shared" si="3"/>
        <v>15200</v>
      </c>
      <c r="Q139" s="1050"/>
      <c r="R139" s="651"/>
    </row>
    <row r="140" spans="2:18" ht="68.25" customHeight="1" hidden="1" outlineLevel="4">
      <c r="B140" s="1850" t="s">
        <v>1134</v>
      </c>
      <c r="C140" s="1850"/>
      <c r="D140" s="690">
        <v>7254</v>
      </c>
      <c r="E140" s="692">
        <v>904.05</v>
      </c>
      <c r="F140" s="690">
        <v>6349.95</v>
      </c>
      <c r="G140" s="691"/>
      <c r="H140" s="692">
        <v>20.09</v>
      </c>
      <c r="I140" s="691"/>
      <c r="J140" s="691"/>
      <c r="K140" s="691"/>
      <c r="L140" s="690">
        <v>7254</v>
      </c>
      <c r="M140" s="692">
        <v>924.14</v>
      </c>
      <c r="N140" s="693">
        <v>6329.86</v>
      </c>
      <c r="O140" s="698">
        <f t="shared" si="4"/>
        <v>241.07999999999998</v>
      </c>
      <c r="P140" s="699">
        <f aca="true" t="shared" si="5" ref="P140:P203">F140-O140</f>
        <v>6108.87</v>
      </c>
      <c r="Q140" s="1050"/>
      <c r="R140" s="651"/>
    </row>
    <row r="141" spans="2:18" ht="57" customHeight="1" hidden="1" outlineLevel="4">
      <c r="B141" s="1850" t="s">
        <v>1135</v>
      </c>
      <c r="C141" s="1850"/>
      <c r="D141" s="690">
        <v>37161</v>
      </c>
      <c r="E141" s="690">
        <v>4632.3</v>
      </c>
      <c r="F141" s="690">
        <v>32528.7</v>
      </c>
      <c r="G141" s="691"/>
      <c r="H141" s="692">
        <v>102.94</v>
      </c>
      <c r="I141" s="691"/>
      <c r="J141" s="691"/>
      <c r="K141" s="691"/>
      <c r="L141" s="690">
        <v>37161</v>
      </c>
      <c r="M141" s="690">
        <v>4735.24</v>
      </c>
      <c r="N141" s="693">
        <v>32425.76</v>
      </c>
      <c r="O141" s="698">
        <f t="shared" si="4"/>
        <v>1235.28</v>
      </c>
      <c r="P141" s="699">
        <f t="shared" si="5"/>
        <v>31293.420000000002</v>
      </c>
      <c r="Q141" s="1050"/>
      <c r="R141" s="651"/>
    </row>
    <row r="142" spans="2:18" ht="68.25" customHeight="1" hidden="1" outlineLevel="4">
      <c r="B142" s="1850" t="s">
        <v>1136</v>
      </c>
      <c r="C142" s="1850"/>
      <c r="D142" s="690">
        <v>8321</v>
      </c>
      <c r="E142" s="690">
        <v>1037.25</v>
      </c>
      <c r="F142" s="690">
        <v>7283.75</v>
      </c>
      <c r="G142" s="691"/>
      <c r="H142" s="692">
        <v>23.05</v>
      </c>
      <c r="I142" s="691"/>
      <c r="J142" s="691"/>
      <c r="K142" s="691"/>
      <c r="L142" s="690">
        <v>8321</v>
      </c>
      <c r="M142" s="690">
        <v>1060.3</v>
      </c>
      <c r="N142" s="693">
        <v>7260.7</v>
      </c>
      <c r="O142" s="698">
        <f t="shared" si="4"/>
        <v>276.6</v>
      </c>
      <c r="P142" s="699">
        <f t="shared" si="5"/>
        <v>7007.15</v>
      </c>
      <c r="Q142" s="1050"/>
      <c r="R142" s="651"/>
    </row>
    <row r="143" spans="2:18" ht="37.5" customHeight="1" collapsed="1">
      <c r="B143" s="1880" t="s">
        <v>29</v>
      </c>
      <c r="C143" s="1880"/>
      <c r="D143" s="689">
        <v>393077.26</v>
      </c>
      <c r="E143" s="689">
        <v>247591.82</v>
      </c>
      <c r="F143" s="689">
        <v>145485.44</v>
      </c>
      <c r="G143" s="1029"/>
      <c r="H143" s="689">
        <v>4379.44</v>
      </c>
      <c r="I143" s="1029"/>
      <c r="J143" s="1029"/>
      <c r="K143" s="1029"/>
      <c r="L143" s="689">
        <v>393077.26</v>
      </c>
      <c r="M143" s="689">
        <v>251971.26</v>
      </c>
      <c r="N143" s="1027">
        <v>141106</v>
      </c>
      <c r="O143" s="700">
        <f t="shared" si="4"/>
        <v>52553.28</v>
      </c>
      <c r="P143" s="701">
        <f t="shared" si="5"/>
        <v>92932.16</v>
      </c>
      <c r="Q143" s="1050">
        <v>1</v>
      </c>
      <c r="R143" s="651" t="s">
        <v>177</v>
      </c>
    </row>
    <row r="144" spans="2:17" ht="12" customHeight="1" hidden="1" outlineLevel="1">
      <c r="B144" s="1877" t="s">
        <v>546</v>
      </c>
      <c r="C144" s="1877"/>
      <c r="D144" s="690">
        <v>393077.26</v>
      </c>
      <c r="E144" s="690">
        <v>247591.82</v>
      </c>
      <c r="F144" s="690">
        <v>145485.44</v>
      </c>
      <c r="G144" s="691"/>
      <c r="H144" s="690">
        <v>4379.44</v>
      </c>
      <c r="I144" s="691"/>
      <c r="J144" s="691"/>
      <c r="K144" s="691"/>
      <c r="L144" s="690">
        <v>393077.26</v>
      </c>
      <c r="M144" s="690">
        <v>251971.26</v>
      </c>
      <c r="N144" s="693">
        <v>141106</v>
      </c>
      <c r="O144" s="698">
        <f t="shared" si="4"/>
        <v>52553.28</v>
      </c>
      <c r="P144" s="699">
        <f t="shared" si="5"/>
        <v>92932.16</v>
      </c>
      <c r="Q144" s="1050"/>
    </row>
    <row r="145" spans="2:17" ht="12" customHeight="1" hidden="1" outlineLevel="2">
      <c r="B145" s="1878" t="s">
        <v>547</v>
      </c>
      <c r="C145" s="1878"/>
      <c r="D145" s="690">
        <v>393077.26</v>
      </c>
      <c r="E145" s="690">
        <v>247591.82</v>
      </c>
      <c r="F145" s="690">
        <v>145485.44</v>
      </c>
      <c r="G145" s="691"/>
      <c r="H145" s="690">
        <v>4379.44</v>
      </c>
      <c r="I145" s="691"/>
      <c r="J145" s="691"/>
      <c r="K145" s="691"/>
      <c r="L145" s="690">
        <v>393077.26</v>
      </c>
      <c r="M145" s="690">
        <v>251971.26</v>
      </c>
      <c r="N145" s="693">
        <v>141106</v>
      </c>
      <c r="O145" s="698">
        <f aca="true" t="shared" si="6" ref="O145:O208">H145*12</f>
        <v>52553.28</v>
      </c>
      <c r="P145" s="699">
        <f t="shared" si="5"/>
        <v>92932.16</v>
      </c>
      <c r="Q145" s="1050"/>
    </row>
    <row r="146" spans="2:17" ht="23.25" customHeight="1" hidden="1" outlineLevel="3">
      <c r="B146" s="1879" t="s">
        <v>29</v>
      </c>
      <c r="C146" s="1879"/>
      <c r="D146" s="690">
        <v>393077.26</v>
      </c>
      <c r="E146" s="690">
        <v>247591.82</v>
      </c>
      <c r="F146" s="690">
        <v>145485.44</v>
      </c>
      <c r="G146" s="691"/>
      <c r="H146" s="690">
        <v>4379.44</v>
      </c>
      <c r="I146" s="691"/>
      <c r="J146" s="691"/>
      <c r="K146" s="691"/>
      <c r="L146" s="690">
        <v>393077.26</v>
      </c>
      <c r="M146" s="690">
        <v>251971.26</v>
      </c>
      <c r="N146" s="693">
        <v>141106</v>
      </c>
      <c r="O146" s="698">
        <f t="shared" si="6"/>
        <v>52553.28</v>
      </c>
      <c r="P146" s="699">
        <f t="shared" si="5"/>
        <v>92932.16</v>
      </c>
      <c r="Q146" s="1050"/>
    </row>
    <row r="147" spans="2:17" ht="34.5" customHeight="1" hidden="1" outlineLevel="4">
      <c r="B147" s="1850" t="s">
        <v>1137</v>
      </c>
      <c r="C147" s="1850"/>
      <c r="D147" s="690">
        <v>68940.68</v>
      </c>
      <c r="E147" s="690">
        <v>31598.05</v>
      </c>
      <c r="F147" s="690">
        <v>37342.63</v>
      </c>
      <c r="G147" s="691"/>
      <c r="H147" s="692">
        <v>574.51</v>
      </c>
      <c r="I147" s="691"/>
      <c r="J147" s="691"/>
      <c r="K147" s="691"/>
      <c r="L147" s="690">
        <v>68940.68</v>
      </c>
      <c r="M147" s="690">
        <v>32172.56</v>
      </c>
      <c r="N147" s="693">
        <v>36768.12</v>
      </c>
      <c r="O147" s="698">
        <f t="shared" si="6"/>
        <v>6894.12</v>
      </c>
      <c r="P147" s="699">
        <f t="shared" si="5"/>
        <v>30448.51</v>
      </c>
      <c r="Q147" s="1050"/>
    </row>
    <row r="148" spans="2:17" ht="23.25" customHeight="1" hidden="1" outlineLevel="4">
      <c r="B148" s="1850" t="s">
        <v>1138</v>
      </c>
      <c r="C148" s="1850"/>
      <c r="D148" s="690">
        <v>8612</v>
      </c>
      <c r="E148" s="690">
        <v>8612</v>
      </c>
      <c r="F148" s="691"/>
      <c r="G148" s="691"/>
      <c r="H148" s="691"/>
      <c r="I148" s="691"/>
      <c r="J148" s="691"/>
      <c r="K148" s="691"/>
      <c r="L148" s="690">
        <v>8612</v>
      </c>
      <c r="M148" s="690">
        <v>8612</v>
      </c>
      <c r="N148" s="695"/>
      <c r="O148" s="698">
        <f t="shared" si="6"/>
        <v>0</v>
      </c>
      <c r="P148" s="699">
        <f t="shared" si="5"/>
        <v>0</v>
      </c>
      <c r="Q148" s="1050"/>
    </row>
    <row r="149" spans="2:17" ht="57" customHeight="1" hidden="1" outlineLevel="4">
      <c r="B149" s="1850" t="s">
        <v>1139</v>
      </c>
      <c r="C149" s="1850"/>
      <c r="D149" s="690">
        <v>4474.58</v>
      </c>
      <c r="E149" s="690">
        <v>4474.58</v>
      </c>
      <c r="F149" s="691"/>
      <c r="G149" s="691"/>
      <c r="H149" s="691"/>
      <c r="I149" s="691"/>
      <c r="J149" s="691"/>
      <c r="K149" s="691"/>
      <c r="L149" s="690">
        <v>4474.58</v>
      </c>
      <c r="M149" s="690">
        <v>4474.58</v>
      </c>
      <c r="N149" s="695"/>
      <c r="O149" s="698">
        <f t="shared" si="6"/>
        <v>0</v>
      </c>
      <c r="P149" s="699">
        <f t="shared" si="5"/>
        <v>0</v>
      </c>
      <c r="Q149" s="1050"/>
    </row>
    <row r="150" spans="2:17" ht="57" customHeight="1" hidden="1" outlineLevel="4">
      <c r="B150" s="1850" t="s">
        <v>1140</v>
      </c>
      <c r="C150" s="1850"/>
      <c r="D150" s="690">
        <v>120600</v>
      </c>
      <c r="E150" s="690">
        <v>67837.5</v>
      </c>
      <c r="F150" s="690">
        <v>52762.5</v>
      </c>
      <c r="G150" s="691"/>
      <c r="H150" s="690">
        <v>1256.25</v>
      </c>
      <c r="I150" s="691"/>
      <c r="J150" s="691"/>
      <c r="K150" s="691"/>
      <c r="L150" s="690">
        <v>120600</v>
      </c>
      <c r="M150" s="690">
        <v>69093.75</v>
      </c>
      <c r="N150" s="693">
        <v>51506.25</v>
      </c>
      <c r="O150" s="698">
        <f t="shared" si="6"/>
        <v>15075</v>
      </c>
      <c r="P150" s="699">
        <f t="shared" si="5"/>
        <v>37687.5</v>
      </c>
      <c r="Q150" s="1050"/>
    </row>
    <row r="151" spans="2:17" ht="45.75" customHeight="1" hidden="1" outlineLevel="4">
      <c r="B151" s="1850" t="s">
        <v>1141</v>
      </c>
      <c r="C151" s="1850"/>
      <c r="D151" s="690">
        <v>25000</v>
      </c>
      <c r="E151" s="690">
        <v>22500.18</v>
      </c>
      <c r="F151" s="690">
        <v>2499.82</v>
      </c>
      <c r="G151" s="691"/>
      <c r="H151" s="692">
        <v>416.67</v>
      </c>
      <c r="I151" s="691"/>
      <c r="J151" s="691"/>
      <c r="K151" s="691"/>
      <c r="L151" s="690">
        <v>25000</v>
      </c>
      <c r="M151" s="690">
        <v>22916.85</v>
      </c>
      <c r="N151" s="693">
        <v>2083.15</v>
      </c>
      <c r="O151" s="698">
        <f t="shared" si="6"/>
        <v>5000.04</v>
      </c>
      <c r="P151" s="699">
        <f t="shared" si="5"/>
        <v>-2500.22</v>
      </c>
      <c r="Q151" s="1050"/>
    </row>
    <row r="152" spans="2:17" ht="57" customHeight="1" hidden="1" outlineLevel="4">
      <c r="B152" s="1850" t="s">
        <v>1142</v>
      </c>
      <c r="C152" s="1850"/>
      <c r="D152" s="690">
        <v>34100</v>
      </c>
      <c r="E152" s="690">
        <v>31258.15</v>
      </c>
      <c r="F152" s="690">
        <v>2841.85</v>
      </c>
      <c r="G152" s="691"/>
      <c r="H152" s="692">
        <v>568.33</v>
      </c>
      <c r="I152" s="691"/>
      <c r="J152" s="691"/>
      <c r="K152" s="691"/>
      <c r="L152" s="690">
        <v>34100</v>
      </c>
      <c r="M152" s="690">
        <v>31826.48</v>
      </c>
      <c r="N152" s="693">
        <v>2273.52</v>
      </c>
      <c r="O152" s="698">
        <f t="shared" si="6"/>
        <v>6819.960000000001</v>
      </c>
      <c r="P152" s="699">
        <f t="shared" si="5"/>
        <v>-3978.110000000001</v>
      </c>
      <c r="Q152" s="1050"/>
    </row>
    <row r="153" spans="2:17" ht="34.5" customHeight="1" hidden="1" outlineLevel="4">
      <c r="B153" s="1850" t="s">
        <v>1143</v>
      </c>
      <c r="C153" s="1850"/>
      <c r="D153" s="690">
        <v>20550</v>
      </c>
      <c r="E153" s="690">
        <v>12721.28</v>
      </c>
      <c r="F153" s="690">
        <v>7828.72</v>
      </c>
      <c r="G153" s="691"/>
      <c r="H153" s="692">
        <v>244.64</v>
      </c>
      <c r="I153" s="691"/>
      <c r="J153" s="691"/>
      <c r="K153" s="691"/>
      <c r="L153" s="690">
        <v>20550</v>
      </c>
      <c r="M153" s="690">
        <v>12965.92</v>
      </c>
      <c r="N153" s="693">
        <v>7584.08</v>
      </c>
      <c r="O153" s="698">
        <f t="shared" si="6"/>
        <v>2935.68</v>
      </c>
      <c r="P153" s="699">
        <f t="shared" si="5"/>
        <v>4893.040000000001</v>
      </c>
      <c r="Q153" s="1050"/>
    </row>
    <row r="154" spans="2:17" ht="34.5" customHeight="1" hidden="1" outlineLevel="4">
      <c r="B154" s="1850" t="s">
        <v>1144</v>
      </c>
      <c r="C154" s="1850"/>
      <c r="D154" s="690">
        <v>20550</v>
      </c>
      <c r="E154" s="690">
        <v>12721.28</v>
      </c>
      <c r="F154" s="690">
        <v>7828.72</v>
      </c>
      <c r="G154" s="691"/>
      <c r="H154" s="692">
        <v>244.64</v>
      </c>
      <c r="I154" s="691"/>
      <c r="J154" s="691"/>
      <c r="K154" s="691"/>
      <c r="L154" s="690">
        <v>20550</v>
      </c>
      <c r="M154" s="690">
        <v>12965.92</v>
      </c>
      <c r="N154" s="693">
        <v>7584.08</v>
      </c>
      <c r="O154" s="698">
        <f t="shared" si="6"/>
        <v>2935.68</v>
      </c>
      <c r="P154" s="699">
        <f t="shared" si="5"/>
        <v>4893.040000000001</v>
      </c>
      <c r="Q154" s="1050"/>
    </row>
    <row r="155" spans="2:17" ht="34.5" customHeight="1" hidden="1" outlineLevel="4">
      <c r="B155" s="1850" t="s">
        <v>1145</v>
      </c>
      <c r="C155" s="1850"/>
      <c r="D155" s="690">
        <v>20550</v>
      </c>
      <c r="E155" s="690">
        <v>12721.28</v>
      </c>
      <c r="F155" s="690">
        <v>7828.72</v>
      </c>
      <c r="G155" s="691"/>
      <c r="H155" s="692">
        <v>244.64</v>
      </c>
      <c r="I155" s="691"/>
      <c r="J155" s="691"/>
      <c r="K155" s="691"/>
      <c r="L155" s="690">
        <v>20550</v>
      </c>
      <c r="M155" s="690">
        <v>12965.92</v>
      </c>
      <c r="N155" s="693">
        <v>7584.08</v>
      </c>
      <c r="O155" s="698">
        <f t="shared" si="6"/>
        <v>2935.68</v>
      </c>
      <c r="P155" s="699">
        <f t="shared" si="5"/>
        <v>4893.040000000001</v>
      </c>
      <c r="Q155" s="1050"/>
    </row>
    <row r="156" spans="2:17" ht="34.5" customHeight="1" hidden="1" outlineLevel="4">
      <c r="B156" s="1850" t="s">
        <v>1146</v>
      </c>
      <c r="C156" s="1850"/>
      <c r="D156" s="690">
        <v>20550</v>
      </c>
      <c r="E156" s="690">
        <v>12721.28</v>
      </c>
      <c r="F156" s="690">
        <v>7828.72</v>
      </c>
      <c r="G156" s="691"/>
      <c r="H156" s="692">
        <v>244.64</v>
      </c>
      <c r="I156" s="691"/>
      <c r="J156" s="691"/>
      <c r="K156" s="691"/>
      <c r="L156" s="690">
        <v>20550</v>
      </c>
      <c r="M156" s="690">
        <v>12965.92</v>
      </c>
      <c r="N156" s="693">
        <v>7584.08</v>
      </c>
      <c r="O156" s="698">
        <f t="shared" si="6"/>
        <v>2935.68</v>
      </c>
      <c r="P156" s="699">
        <f t="shared" si="5"/>
        <v>4893.040000000001</v>
      </c>
      <c r="Q156" s="1050"/>
    </row>
    <row r="157" spans="2:17" ht="57" customHeight="1" hidden="1" outlineLevel="4">
      <c r="B157" s="1850" t="s">
        <v>1147</v>
      </c>
      <c r="C157" s="1850"/>
      <c r="D157" s="690">
        <v>49150</v>
      </c>
      <c r="E157" s="690">
        <v>30426.24</v>
      </c>
      <c r="F157" s="690">
        <v>18723.76</v>
      </c>
      <c r="G157" s="691"/>
      <c r="H157" s="692">
        <v>585.12</v>
      </c>
      <c r="I157" s="691"/>
      <c r="J157" s="691"/>
      <c r="K157" s="691"/>
      <c r="L157" s="690">
        <v>49150</v>
      </c>
      <c r="M157" s="690">
        <v>31011.36</v>
      </c>
      <c r="N157" s="693">
        <v>18138.64</v>
      </c>
      <c r="O157" s="698">
        <f t="shared" si="6"/>
        <v>7021.4400000000005</v>
      </c>
      <c r="P157" s="699">
        <f t="shared" si="5"/>
        <v>11702.319999999998</v>
      </c>
      <c r="Q157" s="1050"/>
    </row>
    <row r="158" spans="2:18" ht="51" customHeight="1" collapsed="1">
      <c r="B158" s="1880" t="s">
        <v>14</v>
      </c>
      <c r="C158" s="1880"/>
      <c r="D158" s="689">
        <f>SUM(D162:D170)</f>
        <v>461231.48</v>
      </c>
      <c r="E158" s="689">
        <f aca="true" t="shared" si="7" ref="E158:O158">SUM(E162:E170)</f>
        <v>356599.8</v>
      </c>
      <c r="F158" s="689">
        <f t="shared" si="7"/>
        <v>104631.68</v>
      </c>
      <c r="G158" s="689">
        <f t="shared" si="7"/>
        <v>0</v>
      </c>
      <c r="H158" s="689">
        <f t="shared" si="7"/>
        <v>1012.62</v>
      </c>
      <c r="I158" s="689">
        <f t="shared" si="7"/>
        <v>0</v>
      </c>
      <c r="J158" s="689">
        <f t="shared" si="7"/>
        <v>0</v>
      </c>
      <c r="K158" s="689">
        <f t="shared" si="7"/>
        <v>0</v>
      </c>
      <c r="L158" s="689">
        <f t="shared" si="7"/>
        <v>461231.48</v>
      </c>
      <c r="M158" s="689">
        <f t="shared" si="7"/>
        <v>357612.4199999999</v>
      </c>
      <c r="N158" s="689">
        <f t="shared" si="7"/>
        <v>103619.06</v>
      </c>
      <c r="O158" s="689">
        <f t="shared" si="7"/>
        <v>12151.439999999999</v>
      </c>
      <c r="P158" s="701">
        <f t="shared" si="5"/>
        <v>92480.23999999999</v>
      </c>
      <c r="Q158" s="1050">
        <v>1</v>
      </c>
      <c r="R158" s="651" t="s">
        <v>1148</v>
      </c>
    </row>
    <row r="159" spans="2:17" ht="12" customHeight="1" hidden="1" outlineLevel="1">
      <c r="B159" s="1877" t="s">
        <v>546</v>
      </c>
      <c r="C159" s="1877"/>
      <c r="D159" s="690">
        <v>461231.48</v>
      </c>
      <c r="E159" s="690">
        <v>356599.8</v>
      </c>
      <c r="F159" s="690">
        <v>104631.68</v>
      </c>
      <c r="G159" s="691"/>
      <c r="H159" s="690">
        <v>1012.62</v>
      </c>
      <c r="I159" s="691"/>
      <c r="J159" s="691"/>
      <c r="K159" s="691"/>
      <c r="L159" s="690">
        <v>461231.48</v>
      </c>
      <c r="M159" s="690">
        <v>357612.42</v>
      </c>
      <c r="N159" s="693">
        <v>103619.06</v>
      </c>
      <c r="O159" s="698">
        <f t="shared" si="6"/>
        <v>12151.44</v>
      </c>
      <c r="P159" s="699">
        <f t="shared" si="5"/>
        <v>92480.23999999999</v>
      </c>
      <c r="Q159" s="1050"/>
    </row>
    <row r="160" spans="2:17" ht="12" customHeight="1" hidden="1" outlineLevel="2">
      <c r="B160" s="1878" t="s">
        <v>547</v>
      </c>
      <c r="C160" s="1878"/>
      <c r="D160" s="690">
        <v>461231.48</v>
      </c>
      <c r="E160" s="690">
        <v>356599.8</v>
      </c>
      <c r="F160" s="690">
        <v>104631.68</v>
      </c>
      <c r="G160" s="691"/>
      <c r="H160" s="690">
        <v>1012.62</v>
      </c>
      <c r="I160" s="691"/>
      <c r="J160" s="691"/>
      <c r="K160" s="691"/>
      <c r="L160" s="690">
        <v>461231.48</v>
      </c>
      <c r="M160" s="690">
        <v>357612.42</v>
      </c>
      <c r="N160" s="693">
        <v>103619.06</v>
      </c>
      <c r="O160" s="698">
        <f t="shared" si="6"/>
        <v>12151.44</v>
      </c>
      <c r="P160" s="699">
        <f t="shared" si="5"/>
        <v>92480.23999999999</v>
      </c>
      <c r="Q160" s="1050"/>
    </row>
    <row r="161" spans="2:17" ht="34.5" customHeight="1" hidden="1" outlineLevel="3">
      <c r="B161" s="1879" t="s">
        <v>14</v>
      </c>
      <c r="C161" s="1879"/>
      <c r="D161" s="690">
        <v>461231.48</v>
      </c>
      <c r="E161" s="690">
        <v>356599.8</v>
      </c>
      <c r="F161" s="690">
        <v>104631.68</v>
      </c>
      <c r="G161" s="691"/>
      <c r="H161" s="690">
        <v>1012.62</v>
      </c>
      <c r="I161" s="691"/>
      <c r="J161" s="691"/>
      <c r="K161" s="691"/>
      <c r="L161" s="690">
        <v>461231.48</v>
      </c>
      <c r="M161" s="690">
        <v>357612.42</v>
      </c>
      <c r="N161" s="693">
        <v>103619.06</v>
      </c>
      <c r="O161" s="698">
        <f t="shared" si="6"/>
        <v>12151.44</v>
      </c>
      <c r="P161" s="699">
        <f t="shared" si="5"/>
        <v>92480.23999999999</v>
      </c>
      <c r="Q161" s="1050"/>
    </row>
    <row r="162" spans="2:17" ht="23.25" customHeight="1" hidden="1" outlineLevel="4">
      <c r="B162" s="1850" t="s">
        <v>83</v>
      </c>
      <c r="C162" s="1850"/>
      <c r="D162" s="690">
        <v>39216.67</v>
      </c>
      <c r="E162" s="690">
        <v>25311.79</v>
      </c>
      <c r="F162" s="690">
        <v>13904.88</v>
      </c>
      <c r="G162" s="691"/>
      <c r="H162" s="692">
        <v>180.72</v>
      </c>
      <c r="I162" s="691"/>
      <c r="J162" s="691"/>
      <c r="K162" s="691"/>
      <c r="L162" s="690">
        <v>39216.67</v>
      </c>
      <c r="M162" s="690">
        <v>25492.51</v>
      </c>
      <c r="N162" s="693">
        <v>13724.16</v>
      </c>
      <c r="O162" s="698">
        <f t="shared" si="6"/>
        <v>2168.64</v>
      </c>
      <c r="P162" s="699">
        <f t="shared" si="5"/>
        <v>11736.24</v>
      </c>
      <c r="Q162" s="1050"/>
    </row>
    <row r="163" spans="2:17" ht="34.5" customHeight="1" hidden="1" outlineLevel="4">
      <c r="B163" s="1850" t="s">
        <v>84</v>
      </c>
      <c r="C163" s="1850"/>
      <c r="D163" s="690">
        <v>126250</v>
      </c>
      <c r="E163" s="690">
        <v>126250</v>
      </c>
      <c r="F163" s="691"/>
      <c r="G163" s="691"/>
      <c r="H163" s="691"/>
      <c r="I163" s="691"/>
      <c r="J163" s="691"/>
      <c r="K163" s="691"/>
      <c r="L163" s="690">
        <v>126250</v>
      </c>
      <c r="M163" s="690">
        <v>126250</v>
      </c>
      <c r="N163" s="695"/>
      <c r="O163" s="698">
        <f t="shared" si="6"/>
        <v>0</v>
      </c>
      <c r="P163" s="699">
        <f t="shared" si="5"/>
        <v>0</v>
      </c>
      <c r="Q163" s="1050"/>
    </row>
    <row r="164" spans="2:17" ht="68.25" customHeight="1" hidden="1" outlineLevel="4">
      <c r="B164" s="1850" t="s">
        <v>85</v>
      </c>
      <c r="C164" s="1850"/>
      <c r="D164" s="690">
        <v>57500</v>
      </c>
      <c r="E164" s="690">
        <v>22081.89</v>
      </c>
      <c r="F164" s="690">
        <v>35418.11</v>
      </c>
      <c r="G164" s="691"/>
      <c r="H164" s="692">
        <v>202.46</v>
      </c>
      <c r="I164" s="691"/>
      <c r="J164" s="691"/>
      <c r="K164" s="691"/>
      <c r="L164" s="690">
        <v>57500</v>
      </c>
      <c r="M164" s="690">
        <v>22284.35</v>
      </c>
      <c r="N164" s="693">
        <v>35215.65</v>
      </c>
      <c r="O164" s="698">
        <f t="shared" si="6"/>
        <v>2429.52</v>
      </c>
      <c r="P164" s="699">
        <f t="shared" si="5"/>
        <v>32988.590000000004</v>
      </c>
      <c r="Q164" s="1050"/>
    </row>
    <row r="165" spans="2:17" ht="45.75" customHeight="1" hidden="1" outlineLevel="4">
      <c r="B165" s="1850" t="s">
        <v>86</v>
      </c>
      <c r="C165" s="1850"/>
      <c r="D165" s="690">
        <v>38830</v>
      </c>
      <c r="E165" s="690">
        <v>22365.3</v>
      </c>
      <c r="F165" s="690">
        <v>16464.7</v>
      </c>
      <c r="G165" s="691"/>
      <c r="H165" s="692">
        <v>198.11</v>
      </c>
      <c r="I165" s="691"/>
      <c r="J165" s="691"/>
      <c r="K165" s="691"/>
      <c r="L165" s="690">
        <v>38830</v>
      </c>
      <c r="M165" s="690">
        <v>22563.41</v>
      </c>
      <c r="N165" s="693">
        <v>16266.59</v>
      </c>
      <c r="O165" s="698">
        <f t="shared" si="6"/>
        <v>2377.32</v>
      </c>
      <c r="P165" s="699">
        <f t="shared" si="5"/>
        <v>14087.380000000001</v>
      </c>
      <c r="Q165" s="1050"/>
    </row>
    <row r="166" spans="2:17" ht="68.25" customHeight="1" hidden="1" outlineLevel="4">
      <c r="B166" s="1850" t="s">
        <v>87</v>
      </c>
      <c r="C166" s="1850"/>
      <c r="D166" s="690">
        <v>54200</v>
      </c>
      <c r="E166" s="690">
        <v>24836.86</v>
      </c>
      <c r="F166" s="690">
        <v>29363.14</v>
      </c>
      <c r="G166" s="691"/>
      <c r="H166" s="692">
        <v>227.73</v>
      </c>
      <c r="I166" s="691"/>
      <c r="J166" s="691"/>
      <c r="K166" s="691"/>
      <c r="L166" s="690">
        <v>54200</v>
      </c>
      <c r="M166" s="690">
        <v>25064.59</v>
      </c>
      <c r="N166" s="693">
        <v>29135.41</v>
      </c>
      <c r="O166" s="698">
        <f t="shared" si="6"/>
        <v>2732.7599999999998</v>
      </c>
      <c r="P166" s="699">
        <f t="shared" si="5"/>
        <v>26630.38</v>
      </c>
      <c r="Q166" s="1050"/>
    </row>
    <row r="167" spans="2:17" ht="34.5" customHeight="1" hidden="1" outlineLevel="4">
      <c r="B167" s="1850" t="s">
        <v>88</v>
      </c>
      <c r="C167" s="1850"/>
      <c r="D167" s="690">
        <v>68050</v>
      </c>
      <c r="E167" s="690">
        <v>68050</v>
      </c>
      <c r="F167" s="691"/>
      <c r="G167" s="691"/>
      <c r="H167" s="691"/>
      <c r="I167" s="691"/>
      <c r="J167" s="691"/>
      <c r="K167" s="691"/>
      <c r="L167" s="690">
        <v>68050</v>
      </c>
      <c r="M167" s="690">
        <v>68050</v>
      </c>
      <c r="N167" s="695"/>
      <c r="O167" s="698">
        <f t="shared" si="6"/>
        <v>0</v>
      </c>
      <c r="P167" s="699">
        <f t="shared" si="5"/>
        <v>0</v>
      </c>
      <c r="Q167" s="1050"/>
    </row>
    <row r="168" spans="2:17" ht="68.25" customHeight="1" hidden="1" outlineLevel="4">
      <c r="B168" s="1850" t="s">
        <v>89</v>
      </c>
      <c r="C168" s="1850"/>
      <c r="D168" s="690">
        <v>42138.98</v>
      </c>
      <c r="E168" s="690">
        <v>42138.98</v>
      </c>
      <c r="F168" s="691"/>
      <c r="G168" s="691"/>
      <c r="H168" s="691"/>
      <c r="I168" s="691"/>
      <c r="J168" s="691"/>
      <c r="K168" s="691"/>
      <c r="L168" s="690">
        <v>42138.98</v>
      </c>
      <c r="M168" s="690">
        <v>42138.98</v>
      </c>
      <c r="N168" s="695"/>
      <c r="O168" s="698">
        <f t="shared" si="6"/>
        <v>0</v>
      </c>
      <c r="P168" s="699">
        <f t="shared" si="5"/>
        <v>0</v>
      </c>
      <c r="Q168" s="1050"/>
    </row>
    <row r="169" spans="2:17" ht="57" customHeight="1" hidden="1" outlineLevel="4">
      <c r="B169" s="1850" t="s">
        <v>90</v>
      </c>
      <c r="C169" s="1850"/>
      <c r="D169" s="690">
        <v>20150</v>
      </c>
      <c r="E169" s="690">
        <v>11765.21</v>
      </c>
      <c r="F169" s="690">
        <v>8384.79</v>
      </c>
      <c r="G169" s="691"/>
      <c r="H169" s="692">
        <v>104.95</v>
      </c>
      <c r="I169" s="691"/>
      <c r="J169" s="691"/>
      <c r="K169" s="691"/>
      <c r="L169" s="690">
        <v>20150</v>
      </c>
      <c r="M169" s="690">
        <v>11870.16</v>
      </c>
      <c r="N169" s="693">
        <v>8279.84</v>
      </c>
      <c r="O169" s="698">
        <f t="shared" si="6"/>
        <v>1259.4</v>
      </c>
      <c r="P169" s="699">
        <f t="shared" si="5"/>
        <v>7125.390000000001</v>
      </c>
      <c r="Q169" s="1050"/>
    </row>
    <row r="170" spans="2:17" ht="23.25" customHeight="1" hidden="1" outlineLevel="4">
      <c r="B170" s="1850" t="s">
        <v>91</v>
      </c>
      <c r="C170" s="1850"/>
      <c r="D170" s="690">
        <v>14895.83</v>
      </c>
      <c r="E170" s="690">
        <v>13799.77</v>
      </c>
      <c r="F170" s="690">
        <v>1096.06</v>
      </c>
      <c r="G170" s="691"/>
      <c r="H170" s="692">
        <v>98.65</v>
      </c>
      <c r="I170" s="691"/>
      <c r="J170" s="691"/>
      <c r="K170" s="691"/>
      <c r="L170" s="690">
        <v>14895.83</v>
      </c>
      <c r="M170" s="690">
        <v>13898.42</v>
      </c>
      <c r="N170" s="694">
        <v>997.41</v>
      </c>
      <c r="O170" s="698">
        <f t="shared" si="6"/>
        <v>1183.8000000000002</v>
      </c>
      <c r="P170" s="699">
        <f t="shared" si="5"/>
        <v>-87.74000000000024</v>
      </c>
      <c r="Q170" s="1050"/>
    </row>
    <row r="171" spans="2:17" ht="40.5" customHeight="1" collapsed="1">
      <c r="B171" s="1880" t="s">
        <v>17</v>
      </c>
      <c r="C171" s="1880"/>
      <c r="D171" s="689">
        <f>SUM(D175:D179)</f>
        <v>23720.34</v>
      </c>
      <c r="E171" s="689">
        <f aca="true" t="shared" si="8" ref="E171:O171">SUM(E175:E179)</f>
        <v>23720.34</v>
      </c>
      <c r="F171" s="689">
        <f t="shared" si="8"/>
        <v>0</v>
      </c>
      <c r="G171" s="689">
        <f t="shared" si="8"/>
        <v>0</v>
      </c>
      <c r="H171" s="689">
        <f t="shared" si="8"/>
        <v>0</v>
      </c>
      <c r="I171" s="689">
        <f t="shared" si="8"/>
        <v>0</v>
      </c>
      <c r="J171" s="689">
        <f t="shared" si="8"/>
        <v>0</v>
      </c>
      <c r="K171" s="689">
        <f t="shared" si="8"/>
        <v>0</v>
      </c>
      <c r="L171" s="689">
        <f t="shared" si="8"/>
        <v>23720.34</v>
      </c>
      <c r="M171" s="689">
        <f t="shared" si="8"/>
        <v>23720.34</v>
      </c>
      <c r="N171" s="689">
        <f t="shared" si="8"/>
        <v>0</v>
      </c>
      <c r="O171" s="689">
        <f t="shared" si="8"/>
        <v>0</v>
      </c>
      <c r="P171" s="701">
        <f t="shared" si="5"/>
        <v>0</v>
      </c>
      <c r="Q171" s="1050">
        <v>2</v>
      </c>
    </row>
    <row r="172" spans="2:17" ht="12" customHeight="1" hidden="1" outlineLevel="1">
      <c r="B172" s="1877" t="s">
        <v>546</v>
      </c>
      <c r="C172" s="1877"/>
      <c r="D172" s="690">
        <v>23720.34</v>
      </c>
      <c r="E172" s="690">
        <v>23720.34</v>
      </c>
      <c r="F172" s="691"/>
      <c r="G172" s="691"/>
      <c r="H172" s="691"/>
      <c r="I172" s="691"/>
      <c r="J172" s="691"/>
      <c r="K172" s="691"/>
      <c r="L172" s="690">
        <v>23720.34</v>
      </c>
      <c r="M172" s="690">
        <v>23720.34</v>
      </c>
      <c r="N172" s="695"/>
      <c r="O172" s="698">
        <f t="shared" si="6"/>
        <v>0</v>
      </c>
      <c r="P172" s="699">
        <f t="shared" si="5"/>
        <v>0</v>
      </c>
      <c r="Q172" s="1050"/>
    </row>
    <row r="173" spans="2:17" ht="12" customHeight="1" hidden="1" outlineLevel="2">
      <c r="B173" s="1878" t="s">
        <v>547</v>
      </c>
      <c r="C173" s="1878"/>
      <c r="D173" s="690">
        <v>23720.34</v>
      </c>
      <c r="E173" s="690">
        <v>23720.34</v>
      </c>
      <c r="F173" s="691"/>
      <c r="G173" s="691"/>
      <c r="H173" s="691"/>
      <c r="I173" s="691"/>
      <c r="J173" s="691"/>
      <c r="K173" s="691"/>
      <c r="L173" s="690">
        <v>23720.34</v>
      </c>
      <c r="M173" s="690">
        <v>23720.34</v>
      </c>
      <c r="N173" s="695"/>
      <c r="O173" s="698">
        <f t="shared" si="6"/>
        <v>0</v>
      </c>
      <c r="P173" s="699">
        <f t="shared" si="5"/>
        <v>0</v>
      </c>
      <c r="Q173" s="1050"/>
    </row>
    <row r="174" spans="2:17" ht="23.25" customHeight="1" hidden="1" outlineLevel="3">
      <c r="B174" s="1879" t="s">
        <v>17</v>
      </c>
      <c r="C174" s="1879"/>
      <c r="D174" s="690">
        <v>23720.34</v>
      </c>
      <c r="E174" s="690">
        <v>23720.34</v>
      </c>
      <c r="F174" s="691"/>
      <c r="G174" s="691"/>
      <c r="H174" s="691"/>
      <c r="I174" s="691"/>
      <c r="J174" s="691"/>
      <c r="K174" s="691"/>
      <c r="L174" s="690">
        <v>23720.34</v>
      </c>
      <c r="M174" s="690">
        <v>23720.34</v>
      </c>
      <c r="N174" s="695"/>
      <c r="O174" s="698">
        <f t="shared" si="6"/>
        <v>0</v>
      </c>
      <c r="P174" s="699">
        <f t="shared" si="5"/>
        <v>0</v>
      </c>
      <c r="Q174" s="1050"/>
    </row>
    <row r="175" spans="2:17" ht="34.5" customHeight="1" hidden="1" outlineLevel="4">
      <c r="B175" s="1850" t="s">
        <v>92</v>
      </c>
      <c r="C175" s="1850"/>
      <c r="D175" s="690">
        <v>3313.56</v>
      </c>
      <c r="E175" s="690">
        <v>3313.56</v>
      </c>
      <c r="F175" s="691"/>
      <c r="G175" s="691"/>
      <c r="H175" s="691"/>
      <c r="I175" s="691"/>
      <c r="J175" s="691"/>
      <c r="K175" s="691"/>
      <c r="L175" s="690">
        <v>3313.56</v>
      </c>
      <c r="M175" s="690">
        <v>3313.56</v>
      </c>
      <c r="N175" s="695"/>
      <c r="O175" s="698">
        <f t="shared" si="6"/>
        <v>0</v>
      </c>
      <c r="P175" s="699">
        <f t="shared" si="5"/>
        <v>0</v>
      </c>
      <c r="Q175" s="1050"/>
    </row>
    <row r="176" spans="2:17" ht="23.25" customHeight="1" hidden="1" outlineLevel="4">
      <c r="B176" s="1850" t="s">
        <v>93</v>
      </c>
      <c r="C176" s="1850"/>
      <c r="D176" s="690">
        <v>3189.83</v>
      </c>
      <c r="E176" s="690">
        <v>3189.83</v>
      </c>
      <c r="F176" s="691"/>
      <c r="G176" s="691"/>
      <c r="H176" s="691"/>
      <c r="I176" s="691"/>
      <c r="J176" s="691"/>
      <c r="K176" s="691"/>
      <c r="L176" s="690">
        <v>3189.83</v>
      </c>
      <c r="M176" s="690">
        <v>3189.83</v>
      </c>
      <c r="N176" s="695"/>
      <c r="O176" s="698">
        <f t="shared" si="6"/>
        <v>0</v>
      </c>
      <c r="P176" s="699">
        <f t="shared" si="5"/>
        <v>0</v>
      </c>
      <c r="Q176" s="1050"/>
    </row>
    <row r="177" spans="2:17" ht="57" customHeight="1" hidden="1" outlineLevel="4">
      <c r="B177" s="1850" t="s">
        <v>94</v>
      </c>
      <c r="C177" s="1850"/>
      <c r="D177" s="690">
        <v>2237.29</v>
      </c>
      <c r="E177" s="690">
        <v>2237.29</v>
      </c>
      <c r="F177" s="691"/>
      <c r="G177" s="691"/>
      <c r="H177" s="691"/>
      <c r="I177" s="691"/>
      <c r="J177" s="691"/>
      <c r="K177" s="691"/>
      <c r="L177" s="690">
        <v>2237.29</v>
      </c>
      <c r="M177" s="690">
        <v>2237.29</v>
      </c>
      <c r="N177" s="695"/>
      <c r="O177" s="698">
        <f t="shared" si="6"/>
        <v>0</v>
      </c>
      <c r="P177" s="699">
        <f t="shared" si="5"/>
        <v>0</v>
      </c>
      <c r="Q177" s="1050"/>
    </row>
    <row r="178" spans="2:17" ht="23.25" customHeight="1" hidden="1" outlineLevel="4">
      <c r="B178" s="1850" t="s">
        <v>95</v>
      </c>
      <c r="C178" s="1850"/>
      <c r="D178" s="690">
        <v>6711.86</v>
      </c>
      <c r="E178" s="690">
        <v>6711.86</v>
      </c>
      <c r="F178" s="691"/>
      <c r="G178" s="691"/>
      <c r="H178" s="691"/>
      <c r="I178" s="691"/>
      <c r="J178" s="691"/>
      <c r="K178" s="691"/>
      <c r="L178" s="690">
        <v>6711.86</v>
      </c>
      <c r="M178" s="690">
        <v>6711.86</v>
      </c>
      <c r="N178" s="695"/>
      <c r="O178" s="698">
        <f t="shared" si="6"/>
        <v>0</v>
      </c>
      <c r="P178" s="699">
        <f t="shared" si="5"/>
        <v>0</v>
      </c>
      <c r="Q178" s="1050"/>
    </row>
    <row r="179" spans="2:17" ht="23.25" customHeight="1" hidden="1" outlineLevel="4">
      <c r="B179" s="1850" t="s">
        <v>96</v>
      </c>
      <c r="C179" s="1850"/>
      <c r="D179" s="690">
        <v>8267.8</v>
      </c>
      <c r="E179" s="690">
        <v>8267.8</v>
      </c>
      <c r="F179" s="691"/>
      <c r="G179" s="691"/>
      <c r="H179" s="691"/>
      <c r="I179" s="691"/>
      <c r="J179" s="691"/>
      <c r="K179" s="691"/>
      <c r="L179" s="690">
        <v>8267.8</v>
      </c>
      <c r="M179" s="690">
        <v>8267.8</v>
      </c>
      <c r="N179" s="695"/>
      <c r="O179" s="698">
        <f t="shared" si="6"/>
        <v>0</v>
      </c>
      <c r="P179" s="699">
        <f t="shared" si="5"/>
        <v>0</v>
      </c>
      <c r="Q179" s="1050"/>
    </row>
    <row r="180" spans="2:17" ht="36.75" customHeight="1" collapsed="1">
      <c r="B180" s="1880" t="s">
        <v>28</v>
      </c>
      <c r="C180" s="1880"/>
      <c r="D180" s="689">
        <f>SUM(D184:D195)</f>
        <v>333578.05</v>
      </c>
      <c r="E180" s="689">
        <f aca="true" t="shared" si="9" ref="E180:O180">SUM(E184:E195)</f>
        <v>210480.66000000003</v>
      </c>
      <c r="F180" s="689">
        <f t="shared" si="9"/>
        <v>123097.39</v>
      </c>
      <c r="G180" s="689">
        <f t="shared" si="9"/>
        <v>0</v>
      </c>
      <c r="H180" s="689">
        <f t="shared" si="9"/>
        <v>2358.1800000000003</v>
      </c>
      <c r="I180" s="689">
        <f t="shared" si="9"/>
        <v>0</v>
      </c>
      <c r="J180" s="689">
        <f t="shared" si="9"/>
        <v>0</v>
      </c>
      <c r="K180" s="689">
        <f t="shared" si="9"/>
        <v>0</v>
      </c>
      <c r="L180" s="689">
        <f t="shared" si="9"/>
        <v>333578.05</v>
      </c>
      <c r="M180" s="689">
        <f t="shared" si="9"/>
        <v>212838.84</v>
      </c>
      <c r="N180" s="689">
        <f t="shared" si="9"/>
        <v>120739.20999999999</v>
      </c>
      <c r="O180" s="689">
        <f t="shared" si="9"/>
        <v>28298.16</v>
      </c>
      <c r="P180" s="701">
        <f t="shared" si="5"/>
        <v>94799.23</v>
      </c>
      <c r="Q180" s="1050">
        <v>2</v>
      </c>
    </row>
    <row r="181" spans="2:17" ht="12" customHeight="1" hidden="1" outlineLevel="1">
      <c r="B181" s="1877" t="s">
        <v>546</v>
      </c>
      <c r="C181" s="1877"/>
      <c r="D181" s="690">
        <v>333578.05</v>
      </c>
      <c r="E181" s="690">
        <v>210480.66</v>
      </c>
      <c r="F181" s="690">
        <v>123097.39</v>
      </c>
      <c r="G181" s="691"/>
      <c r="H181" s="690">
        <v>2358.18</v>
      </c>
      <c r="I181" s="691"/>
      <c r="J181" s="691"/>
      <c r="K181" s="691"/>
      <c r="L181" s="690">
        <v>333578.05</v>
      </c>
      <c r="M181" s="690">
        <v>212838.84</v>
      </c>
      <c r="N181" s="693">
        <v>120739.21</v>
      </c>
      <c r="O181" s="698">
        <f t="shared" si="6"/>
        <v>28298.159999999996</v>
      </c>
      <c r="P181" s="699">
        <f t="shared" si="5"/>
        <v>94799.23000000001</v>
      </c>
      <c r="Q181" s="1050"/>
    </row>
    <row r="182" spans="2:17" ht="12" customHeight="1" hidden="1" outlineLevel="2">
      <c r="B182" s="1878" t="s">
        <v>547</v>
      </c>
      <c r="C182" s="1878"/>
      <c r="D182" s="690">
        <v>333578.05</v>
      </c>
      <c r="E182" s="690">
        <v>210480.66</v>
      </c>
      <c r="F182" s="690">
        <v>123097.39</v>
      </c>
      <c r="G182" s="691"/>
      <c r="H182" s="690">
        <v>2358.18</v>
      </c>
      <c r="I182" s="691"/>
      <c r="J182" s="691"/>
      <c r="K182" s="691"/>
      <c r="L182" s="690">
        <v>333578.05</v>
      </c>
      <c r="M182" s="690">
        <v>212838.84</v>
      </c>
      <c r="N182" s="693">
        <v>120739.21</v>
      </c>
      <c r="O182" s="698">
        <f t="shared" si="6"/>
        <v>28298.159999999996</v>
      </c>
      <c r="P182" s="699">
        <f t="shared" si="5"/>
        <v>94799.23000000001</v>
      </c>
      <c r="Q182" s="1050"/>
    </row>
    <row r="183" spans="2:17" ht="45.75" customHeight="1" hidden="1" outlineLevel="3">
      <c r="B183" s="1879" t="s">
        <v>28</v>
      </c>
      <c r="C183" s="1879"/>
      <c r="D183" s="690">
        <v>333578.05</v>
      </c>
      <c r="E183" s="690">
        <v>210480.66</v>
      </c>
      <c r="F183" s="690">
        <v>123097.39</v>
      </c>
      <c r="G183" s="691"/>
      <c r="H183" s="690">
        <v>2358.18</v>
      </c>
      <c r="I183" s="691"/>
      <c r="J183" s="691"/>
      <c r="K183" s="691"/>
      <c r="L183" s="690">
        <v>333578.05</v>
      </c>
      <c r="M183" s="690">
        <v>212838.84</v>
      </c>
      <c r="N183" s="693">
        <v>120739.21</v>
      </c>
      <c r="O183" s="698">
        <f t="shared" si="6"/>
        <v>28298.159999999996</v>
      </c>
      <c r="P183" s="699">
        <f t="shared" si="5"/>
        <v>94799.23000000001</v>
      </c>
      <c r="Q183" s="1050"/>
    </row>
    <row r="184" spans="2:17" ht="34.5" customHeight="1" hidden="1" outlineLevel="4">
      <c r="B184" s="1850" t="s">
        <v>97</v>
      </c>
      <c r="C184" s="1850"/>
      <c r="D184" s="690">
        <v>31500</v>
      </c>
      <c r="E184" s="690">
        <v>7700.91</v>
      </c>
      <c r="F184" s="690">
        <v>23799.09</v>
      </c>
      <c r="G184" s="691"/>
      <c r="H184" s="692">
        <v>70.63</v>
      </c>
      <c r="I184" s="691"/>
      <c r="J184" s="691"/>
      <c r="K184" s="691"/>
      <c r="L184" s="690">
        <v>31500</v>
      </c>
      <c r="M184" s="690">
        <v>7771.54</v>
      </c>
      <c r="N184" s="693">
        <v>23728.46</v>
      </c>
      <c r="O184" s="698">
        <f t="shared" si="6"/>
        <v>847.56</v>
      </c>
      <c r="P184" s="699">
        <f t="shared" si="5"/>
        <v>22951.53</v>
      </c>
      <c r="Q184" s="1050"/>
    </row>
    <row r="185" spans="2:17" ht="45.75" customHeight="1" hidden="1" outlineLevel="4">
      <c r="B185" s="1850" t="s">
        <v>98</v>
      </c>
      <c r="C185" s="1850"/>
      <c r="D185" s="690">
        <v>36750</v>
      </c>
      <c r="E185" s="690">
        <v>23955.92</v>
      </c>
      <c r="F185" s="690">
        <v>12794.08</v>
      </c>
      <c r="G185" s="691"/>
      <c r="H185" s="692">
        <v>220.06</v>
      </c>
      <c r="I185" s="691"/>
      <c r="J185" s="691"/>
      <c r="K185" s="691"/>
      <c r="L185" s="690">
        <v>36750</v>
      </c>
      <c r="M185" s="690">
        <v>24175.98</v>
      </c>
      <c r="N185" s="693">
        <v>12574.02</v>
      </c>
      <c r="O185" s="698">
        <f t="shared" si="6"/>
        <v>2640.7200000000003</v>
      </c>
      <c r="P185" s="699">
        <f t="shared" si="5"/>
        <v>10153.36</v>
      </c>
      <c r="Q185" s="1050"/>
    </row>
    <row r="186" spans="2:17" ht="57" customHeight="1" hidden="1" outlineLevel="4">
      <c r="B186" s="1850" t="s">
        <v>99</v>
      </c>
      <c r="C186" s="1850"/>
      <c r="D186" s="690">
        <v>16660</v>
      </c>
      <c r="E186" s="690">
        <v>13399.23</v>
      </c>
      <c r="F186" s="690">
        <v>3260.77</v>
      </c>
      <c r="G186" s="691"/>
      <c r="H186" s="692">
        <v>111.81</v>
      </c>
      <c r="I186" s="691"/>
      <c r="J186" s="691"/>
      <c r="K186" s="691"/>
      <c r="L186" s="690">
        <v>16660</v>
      </c>
      <c r="M186" s="690">
        <v>13511.04</v>
      </c>
      <c r="N186" s="693">
        <v>3148.96</v>
      </c>
      <c r="O186" s="698">
        <f t="shared" si="6"/>
        <v>1341.72</v>
      </c>
      <c r="P186" s="699">
        <f t="shared" si="5"/>
        <v>1919.05</v>
      </c>
      <c r="Q186" s="1050"/>
    </row>
    <row r="187" spans="2:17" ht="34.5" customHeight="1" hidden="1" outlineLevel="4">
      <c r="B187" s="1850" t="s">
        <v>100</v>
      </c>
      <c r="C187" s="1850"/>
      <c r="D187" s="690">
        <v>27160</v>
      </c>
      <c r="E187" s="690">
        <v>27160</v>
      </c>
      <c r="F187" s="691"/>
      <c r="G187" s="691"/>
      <c r="H187" s="691"/>
      <c r="I187" s="691"/>
      <c r="J187" s="691"/>
      <c r="K187" s="691"/>
      <c r="L187" s="690">
        <v>27160</v>
      </c>
      <c r="M187" s="690">
        <v>27160</v>
      </c>
      <c r="N187" s="695"/>
      <c r="O187" s="698">
        <f t="shared" si="6"/>
        <v>0</v>
      </c>
      <c r="P187" s="699">
        <f t="shared" si="5"/>
        <v>0</v>
      </c>
      <c r="Q187" s="1050"/>
    </row>
    <row r="188" spans="2:17" ht="34.5" customHeight="1" hidden="1" outlineLevel="4">
      <c r="B188" s="1850" t="s">
        <v>101</v>
      </c>
      <c r="C188" s="1850"/>
      <c r="D188" s="690">
        <v>18270</v>
      </c>
      <c r="E188" s="690">
        <v>18270</v>
      </c>
      <c r="F188" s="691"/>
      <c r="G188" s="691"/>
      <c r="H188" s="691"/>
      <c r="I188" s="691"/>
      <c r="J188" s="691"/>
      <c r="K188" s="691"/>
      <c r="L188" s="690">
        <v>18270</v>
      </c>
      <c r="M188" s="690">
        <v>18270</v>
      </c>
      <c r="N188" s="695"/>
      <c r="O188" s="698">
        <f t="shared" si="6"/>
        <v>0</v>
      </c>
      <c r="P188" s="699">
        <f t="shared" si="5"/>
        <v>0</v>
      </c>
      <c r="Q188" s="1050"/>
    </row>
    <row r="189" spans="2:17" ht="23.25" customHeight="1" hidden="1" outlineLevel="4">
      <c r="B189" s="1850" t="s">
        <v>102</v>
      </c>
      <c r="C189" s="1850"/>
      <c r="D189" s="690">
        <v>15118.64</v>
      </c>
      <c r="E189" s="690">
        <v>6595.57</v>
      </c>
      <c r="F189" s="690">
        <v>8523.07</v>
      </c>
      <c r="G189" s="691"/>
      <c r="H189" s="692">
        <v>60.47</v>
      </c>
      <c r="I189" s="691"/>
      <c r="J189" s="691"/>
      <c r="K189" s="691"/>
      <c r="L189" s="690">
        <v>15118.64</v>
      </c>
      <c r="M189" s="690">
        <v>6656.04</v>
      </c>
      <c r="N189" s="693">
        <v>8462.6</v>
      </c>
      <c r="O189" s="698">
        <f t="shared" si="6"/>
        <v>725.64</v>
      </c>
      <c r="P189" s="699">
        <f t="shared" si="5"/>
        <v>7797.429999999999</v>
      </c>
      <c r="Q189" s="1050"/>
    </row>
    <row r="190" spans="2:17" ht="23.25" customHeight="1" hidden="1" outlineLevel="4">
      <c r="B190" s="1850" t="s">
        <v>103</v>
      </c>
      <c r="C190" s="1850"/>
      <c r="D190" s="690">
        <v>15220.34</v>
      </c>
      <c r="E190" s="690">
        <v>4450.67</v>
      </c>
      <c r="F190" s="690">
        <v>10769.67</v>
      </c>
      <c r="G190" s="691"/>
      <c r="H190" s="692">
        <v>40.81</v>
      </c>
      <c r="I190" s="691"/>
      <c r="J190" s="691"/>
      <c r="K190" s="691"/>
      <c r="L190" s="690">
        <v>15220.34</v>
      </c>
      <c r="M190" s="690">
        <v>4491.48</v>
      </c>
      <c r="N190" s="693">
        <v>10728.86</v>
      </c>
      <c r="O190" s="698">
        <f t="shared" si="6"/>
        <v>489.72</v>
      </c>
      <c r="P190" s="699">
        <f t="shared" si="5"/>
        <v>10279.95</v>
      </c>
      <c r="Q190" s="1050"/>
    </row>
    <row r="191" spans="2:17" ht="23.25" customHeight="1" hidden="1" outlineLevel="4">
      <c r="B191" s="1850" t="s">
        <v>104</v>
      </c>
      <c r="C191" s="1850"/>
      <c r="D191" s="690">
        <v>12848.22</v>
      </c>
      <c r="E191" s="690">
        <v>12848.22</v>
      </c>
      <c r="F191" s="691"/>
      <c r="G191" s="691"/>
      <c r="H191" s="691"/>
      <c r="I191" s="691"/>
      <c r="J191" s="691"/>
      <c r="K191" s="691"/>
      <c r="L191" s="690">
        <v>12848.22</v>
      </c>
      <c r="M191" s="690">
        <v>12848.22</v>
      </c>
      <c r="N191" s="695"/>
      <c r="O191" s="698">
        <f t="shared" si="6"/>
        <v>0</v>
      </c>
      <c r="P191" s="699">
        <f t="shared" si="5"/>
        <v>0</v>
      </c>
      <c r="Q191" s="1050"/>
    </row>
    <row r="192" spans="2:17" ht="34.5" customHeight="1" hidden="1" outlineLevel="4">
      <c r="B192" s="1850" t="s">
        <v>105</v>
      </c>
      <c r="C192" s="1850"/>
      <c r="D192" s="690">
        <v>35000</v>
      </c>
      <c r="E192" s="690">
        <v>35000</v>
      </c>
      <c r="F192" s="691"/>
      <c r="G192" s="691"/>
      <c r="H192" s="691"/>
      <c r="I192" s="691"/>
      <c r="J192" s="691"/>
      <c r="K192" s="691"/>
      <c r="L192" s="690">
        <v>35000</v>
      </c>
      <c r="M192" s="690">
        <v>35000</v>
      </c>
      <c r="N192" s="695"/>
      <c r="O192" s="698">
        <f t="shared" si="6"/>
        <v>0</v>
      </c>
      <c r="P192" s="699">
        <f t="shared" si="5"/>
        <v>0</v>
      </c>
      <c r="Q192" s="1050"/>
    </row>
    <row r="193" spans="2:17" ht="57" customHeight="1" hidden="1" outlineLevel="4">
      <c r="B193" s="1850" t="s">
        <v>106</v>
      </c>
      <c r="C193" s="1850"/>
      <c r="D193" s="690">
        <v>16983.05</v>
      </c>
      <c r="E193" s="690">
        <v>8849.48</v>
      </c>
      <c r="F193" s="690">
        <v>8133.57</v>
      </c>
      <c r="G193" s="691"/>
      <c r="H193" s="692">
        <v>70.76</v>
      </c>
      <c r="I193" s="691"/>
      <c r="J193" s="691"/>
      <c r="K193" s="691"/>
      <c r="L193" s="690">
        <v>16983.05</v>
      </c>
      <c r="M193" s="690">
        <v>8920.24</v>
      </c>
      <c r="N193" s="693">
        <v>8062.81</v>
      </c>
      <c r="O193" s="698">
        <f t="shared" si="6"/>
        <v>849.1200000000001</v>
      </c>
      <c r="P193" s="699">
        <f t="shared" si="5"/>
        <v>7284.45</v>
      </c>
      <c r="Q193" s="1050"/>
    </row>
    <row r="194" spans="2:17" ht="68.25" customHeight="1" hidden="1" outlineLevel="4">
      <c r="B194" s="1850" t="s">
        <v>107</v>
      </c>
      <c r="C194" s="1850"/>
      <c r="D194" s="690">
        <v>44067.8</v>
      </c>
      <c r="E194" s="690">
        <v>32316.24</v>
      </c>
      <c r="F194" s="690">
        <v>11751.56</v>
      </c>
      <c r="G194" s="691"/>
      <c r="H194" s="692">
        <v>734.46</v>
      </c>
      <c r="I194" s="691"/>
      <c r="J194" s="691"/>
      <c r="K194" s="691"/>
      <c r="L194" s="690">
        <v>44067.8</v>
      </c>
      <c r="M194" s="690">
        <v>33050.7</v>
      </c>
      <c r="N194" s="693">
        <v>11017.1</v>
      </c>
      <c r="O194" s="698">
        <f t="shared" si="6"/>
        <v>8813.52</v>
      </c>
      <c r="P194" s="699">
        <f t="shared" si="5"/>
        <v>2938.039999999999</v>
      </c>
      <c r="Q194" s="1050"/>
    </row>
    <row r="195" spans="2:17" ht="34.5" customHeight="1" hidden="1" outlineLevel="4">
      <c r="B195" s="1850" t="s">
        <v>108</v>
      </c>
      <c r="C195" s="1850"/>
      <c r="D195" s="690">
        <v>64000</v>
      </c>
      <c r="E195" s="690">
        <v>19934.42</v>
      </c>
      <c r="F195" s="690">
        <v>44065.58</v>
      </c>
      <c r="G195" s="691"/>
      <c r="H195" s="690">
        <v>1049.18</v>
      </c>
      <c r="I195" s="691"/>
      <c r="J195" s="691"/>
      <c r="K195" s="691"/>
      <c r="L195" s="690">
        <v>64000</v>
      </c>
      <c r="M195" s="690">
        <v>20983.6</v>
      </c>
      <c r="N195" s="693">
        <v>43016.4</v>
      </c>
      <c r="O195" s="698">
        <f t="shared" si="6"/>
        <v>12590.16</v>
      </c>
      <c r="P195" s="699">
        <f t="shared" si="5"/>
        <v>31475.420000000002</v>
      </c>
      <c r="Q195" s="1050"/>
    </row>
    <row r="196" spans="2:17" ht="36.75" customHeight="1" collapsed="1">
      <c r="B196" s="1880" t="s">
        <v>27</v>
      </c>
      <c r="C196" s="1880"/>
      <c r="D196" s="689">
        <v>96384.75</v>
      </c>
      <c r="E196" s="689">
        <v>3837.21</v>
      </c>
      <c r="F196" s="689">
        <v>92547.54</v>
      </c>
      <c r="G196" s="1029"/>
      <c r="H196" s="689">
        <v>1580.08</v>
      </c>
      <c r="I196" s="1029"/>
      <c r="J196" s="1029"/>
      <c r="K196" s="1029"/>
      <c r="L196" s="689">
        <v>96384.75</v>
      </c>
      <c r="M196" s="689">
        <v>5417.29</v>
      </c>
      <c r="N196" s="1027">
        <v>90967.46</v>
      </c>
      <c r="O196" s="700">
        <f t="shared" si="6"/>
        <v>18960.96</v>
      </c>
      <c r="P196" s="701">
        <f t="shared" si="5"/>
        <v>73586.57999999999</v>
      </c>
      <c r="Q196" s="1050">
        <v>1</v>
      </c>
    </row>
    <row r="197" spans="2:17" ht="12" customHeight="1" hidden="1" outlineLevel="1">
      <c r="B197" s="1877" t="s">
        <v>546</v>
      </c>
      <c r="C197" s="1877"/>
      <c r="D197" s="690">
        <v>96384.75</v>
      </c>
      <c r="E197" s="690">
        <v>3837.21</v>
      </c>
      <c r="F197" s="690">
        <v>92547.54</v>
      </c>
      <c r="G197" s="691"/>
      <c r="H197" s="690">
        <v>1580.08</v>
      </c>
      <c r="I197" s="691"/>
      <c r="J197" s="691"/>
      <c r="K197" s="691"/>
      <c r="L197" s="690">
        <v>96384.75</v>
      </c>
      <c r="M197" s="690">
        <v>5417.29</v>
      </c>
      <c r="N197" s="693">
        <v>90967.46</v>
      </c>
      <c r="O197" s="698">
        <f t="shared" si="6"/>
        <v>18960.96</v>
      </c>
      <c r="P197" s="699">
        <f t="shared" si="5"/>
        <v>73586.57999999999</v>
      </c>
      <c r="Q197" s="1050"/>
    </row>
    <row r="198" spans="2:17" ht="12" customHeight="1" hidden="1" outlineLevel="2">
      <c r="B198" s="1878" t="s">
        <v>547</v>
      </c>
      <c r="C198" s="1878"/>
      <c r="D198" s="690">
        <v>96384.75</v>
      </c>
      <c r="E198" s="690">
        <v>3837.21</v>
      </c>
      <c r="F198" s="690">
        <v>92547.54</v>
      </c>
      <c r="G198" s="691"/>
      <c r="H198" s="690">
        <v>1580.08</v>
      </c>
      <c r="I198" s="691"/>
      <c r="J198" s="691"/>
      <c r="K198" s="691"/>
      <c r="L198" s="690">
        <v>96384.75</v>
      </c>
      <c r="M198" s="690">
        <v>5417.29</v>
      </c>
      <c r="N198" s="693">
        <v>90967.46</v>
      </c>
      <c r="O198" s="698">
        <f t="shared" si="6"/>
        <v>18960.96</v>
      </c>
      <c r="P198" s="699">
        <f t="shared" si="5"/>
        <v>73586.57999999999</v>
      </c>
      <c r="Q198" s="1050"/>
    </row>
    <row r="199" spans="2:17" ht="45.75" customHeight="1" hidden="1" outlineLevel="3">
      <c r="B199" s="1879" t="s">
        <v>27</v>
      </c>
      <c r="C199" s="1879"/>
      <c r="D199" s="690">
        <v>96384.75</v>
      </c>
      <c r="E199" s="690">
        <v>3837.21</v>
      </c>
      <c r="F199" s="690">
        <v>92547.54</v>
      </c>
      <c r="G199" s="691"/>
      <c r="H199" s="690">
        <v>1580.08</v>
      </c>
      <c r="I199" s="691"/>
      <c r="J199" s="691"/>
      <c r="K199" s="691"/>
      <c r="L199" s="690">
        <v>96384.75</v>
      </c>
      <c r="M199" s="690">
        <v>5417.29</v>
      </c>
      <c r="N199" s="693">
        <v>90967.46</v>
      </c>
      <c r="O199" s="698">
        <f t="shared" si="6"/>
        <v>18960.96</v>
      </c>
      <c r="P199" s="699">
        <f t="shared" si="5"/>
        <v>73586.57999999999</v>
      </c>
      <c r="Q199" s="1050"/>
    </row>
    <row r="200" spans="2:17" ht="34.5" customHeight="1" hidden="1" outlineLevel="4">
      <c r="B200" s="1850" t="s">
        <v>109</v>
      </c>
      <c r="C200" s="1850"/>
      <c r="D200" s="690">
        <v>41300</v>
      </c>
      <c r="E200" s="690">
        <v>2031.15</v>
      </c>
      <c r="F200" s="690">
        <v>39268.85</v>
      </c>
      <c r="G200" s="691"/>
      <c r="H200" s="692">
        <v>677.05</v>
      </c>
      <c r="I200" s="691"/>
      <c r="J200" s="691"/>
      <c r="K200" s="691"/>
      <c r="L200" s="690">
        <v>41300</v>
      </c>
      <c r="M200" s="690">
        <v>2708.2</v>
      </c>
      <c r="N200" s="693">
        <v>38591.8</v>
      </c>
      <c r="O200" s="698">
        <f t="shared" si="6"/>
        <v>8124.599999999999</v>
      </c>
      <c r="P200" s="699">
        <f t="shared" si="5"/>
        <v>31144.25</v>
      </c>
      <c r="Q200" s="1050"/>
    </row>
    <row r="201" spans="2:17" ht="34.5" customHeight="1" hidden="1" outlineLevel="4">
      <c r="B201" s="1850" t="s">
        <v>110</v>
      </c>
      <c r="C201" s="1850"/>
      <c r="D201" s="690">
        <v>55084.75</v>
      </c>
      <c r="E201" s="690">
        <v>1806.06</v>
      </c>
      <c r="F201" s="690">
        <v>53278.69</v>
      </c>
      <c r="G201" s="691"/>
      <c r="H201" s="692">
        <v>903.03</v>
      </c>
      <c r="I201" s="691"/>
      <c r="J201" s="691"/>
      <c r="K201" s="691"/>
      <c r="L201" s="690">
        <v>55084.75</v>
      </c>
      <c r="M201" s="690">
        <v>2709.09</v>
      </c>
      <c r="N201" s="693">
        <v>52375.66</v>
      </c>
      <c r="O201" s="698">
        <f t="shared" si="6"/>
        <v>10836.36</v>
      </c>
      <c r="P201" s="699">
        <f t="shared" si="5"/>
        <v>42442.33</v>
      </c>
      <c r="Q201" s="1050"/>
    </row>
    <row r="202" spans="2:17" ht="33.75" customHeight="1" collapsed="1">
      <c r="B202" s="1880" t="s">
        <v>26</v>
      </c>
      <c r="C202" s="1880"/>
      <c r="D202" s="689">
        <f>SUM(D206:D210)</f>
        <v>464569.49000000005</v>
      </c>
      <c r="E202" s="689">
        <f aca="true" t="shared" si="10" ref="E202:O202">SUM(E206:E210)</f>
        <v>252234.93</v>
      </c>
      <c r="F202" s="689">
        <f t="shared" si="10"/>
        <v>212334.56</v>
      </c>
      <c r="G202" s="689">
        <f t="shared" si="10"/>
        <v>0</v>
      </c>
      <c r="H202" s="689">
        <f t="shared" si="10"/>
        <v>6452.36</v>
      </c>
      <c r="I202" s="689">
        <f t="shared" si="10"/>
        <v>0</v>
      </c>
      <c r="J202" s="689">
        <f t="shared" si="10"/>
        <v>0</v>
      </c>
      <c r="K202" s="689">
        <f t="shared" si="10"/>
        <v>0</v>
      </c>
      <c r="L202" s="689">
        <f t="shared" si="10"/>
        <v>464569.49000000005</v>
      </c>
      <c r="M202" s="689">
        <f t="shared" si="10"/>
        <v>258687.28999999998</v>
      </c>
      <c r="N202" s="689">
        <f t="shared" si="10"/>
        <v>205882.19999999998</v>
      </c>
      <c r="O202" s="689">
        <f t="shared" si="10"/>
        <v>77428.32</v>
      </c>
      <c r="P202" s="701">
        <f t="shared" si="5"/>
        <v>134906.24</v>
      </c>
      <c r="Q202" s="1050">
        <v>2</v>
      </c>
    </row>
    <row r="203" spans="2:17" ht="12" customHeight="1" hidden="1" outlineLevel="1">
      <c r="B203" s="1877" t="s">
        <v>546</v>
      </c>
      <c r="C203" s="1877"/>
      <c r="D203" s="690">
        <v>464569.49</v>
      </c>
      <c r="E203" s="690">
        <v>252234.93</v>
      </c>
      <c r="F203" s="690">
        <v>212334.56</v>
      </c>
      <c r="G203" s="691"/>
      <c r="H203" s="690">
        <v>6452.36</v>
      </c>
      <c r="I203" s="691"/>
      <c r="J203" s="691"/>
      <c r="K203" s="691"/>
      <c r="L203" s="690">
        <v>464569.49</v>
      </c>
      <c r="M203" s="690">
        <v>258687.29</v>
      </c>
      <c r="N203" s="693">
        <v>205882.2</v>
      </c>
      <c r="O203" s="698">
        <f t="shared" si="6"/>
        <v>77428.31999999999</v>
      </c>
      <c r="P203" s="699">
        <f t="shared" si="5"/>
        <v>134906.24</v>
      </c>
      <c r="Q203" s="1050"/>
    </row>
    <row r="204" spans="2:17" ht="12" customHeight="1" hidden="1" outlineLevel="2">
      <c r="B204" s="1878" t="s">
        <v>547</v>
      </c>
      <c r="C204" s="1878"/>
      <c r="D204" s="690">
        <v>464569.49</v>
      </c>
      <c r="E204" s="690">
        <v>252234.93</v>
      </c>
      <c r="F204" s="690">
        <v>212334.56</v>
      </c>
      <c r="G204" s="691"/>
      <c r="H204" s="690">
        <v>6452.36</v>
      </c>
      <c r="I204" s="691"/>
      <c r="J204" s="691"/>
      <c r="K204" s="691"/>
      <c r="L204" s="690">
        <v>464569.49</v>
      </c>
      <c r="M204" s="690">
        <v>258687.29</v>
      </c>
      <c r="N204" s="693">
        <v>205882.2</v>
      </c>
      <c r="O204" s="698">
        <f t="shared" si="6"/>
        <v>77428.31999999999</v>
      </c>
      <c r="P204" s="699">
        <f aca="true" t="shared" si="11" ref="P204:P267">F204-O204</f>
        <v>134906.24</v>
      </c>
      <c r="Q204" s="1050"/>
    </row>
    <row r="205" spans="2:17" ht="34.5" customHeight="1" hidden="1" outlineLevel="3">
      <c r="B205" s="1879" t="s">
        <v>26</v>
      </c>
      <c r="C205" s="1879"/>
      <c r="D205" s="690">
        <v>464569.49</v>
      </c>
      <c r="E205" s="690">
        <v>252234.93</v>
      </c>
      <c r="F205" s="690">
        <v>212334.56</v>
      </c>
      <c r="G205" s="691"/>
      <c r="H205" s="690">
        <v>6452.36</v>
      </c>
      <c r="I205" s="691"/>
      <c r="J205" s="691"/>
      <c r="K205" s="691"/>
      <c r="L205" s="690">
        <v>464569.49</v>
      </c>
      <c r="M205" s="690">
        <v>258687.29</v>
      </c>
      <c r="N205" s="693">
        <v>205882.2</v>
      </c>
      <c r="O205" s="698">
        <f t="shared" si="6"/>
        <v>77428.31999999999</v>
      </c>
      <c r="P205" s="699">
        <f t="shared" si="11"/>
        <v>134906.24</v>
      </c>
      <c r="Q205" s="1050"/>
    </row>
    <row r="206" spans="2:17" ht="45.75" customHeight="1" hidden="1" outlineLevel="4">
      <c r="B206" s="1850" t="s">
        <v>111</v>
      </c>
      <c r="C206" s="1850"/>
      <c r="D206" s="690">
        <v>80811.86</v>
      </c>
      <c r="E206" s="690">
        <v>38161.26</v>
      </c>
      <c r="F206" s="690">
        <v>42650.6</v>
      </c>
      <c r="G206" s="691"/>
      <c r="H206" s="690">
        <v>1122.39</v>
      </c>
      <c r="I206" s="691"/>
      <c r="J206" s="691"/>
      <c r="K206" s="691"/>
      <c r="L206" s="690">
        <v>80811.86</v>
      </c>
      <c r="M206" s="690">
        <v>39283.65</v>
      </c>
      <c r="N206" s="693">
        <v>41528.21</v>
      </c>
      <c r="O206" s="698">
        <f t="shared" si="6"/>
        <v>13468.68</v>
      </c>
      <c r="P206" s="699">
        <f t="shared" si="11"/>
        <v>29181.92</v>
      </c>
      <c r="Q206" s="1050"/>
    </row>
    <row r="207" spans="2:17" ht="23.25" customHeight="1" hidden="1" outlineLevel="4">
      <c r="B207" s="1850" t="s">
        <v>112</v>
      </c>
      <c r="C207" s="1850"/>
      <c r="D207" s="690">
        <v>49550.85</v>
      </c>
      <c r="E207" s="690">
        <v>26151.98</v>
      </c>
      <c r="F207" s="690">
        <v>23398.87</v>
      </c>
      <c r="G207" s="691"/>
      <c r="H207" s="692">
        <v>688.21</v>
      </c>
      <c r="I207" s="691"/>
      <c r="J207" s="691"/>
      <c r="K207" s="691"/>
      <c r="L207" s="690">
        <v>49550.85</v>
      </c>
      <c r="M207" s="690">
        <v>26840.19</v>
      </c>
      <c r="N207" s="693">
        <v>22710.66</v>
      </c>
      <c r="O207" s="698">
        <f t="shared" si="6"/>
        <v>8258.52</v>
      </c>
      <c r="P207" s="699">
        <f t="shared" si="11"/>
        <v>15140.349999999999</v>
      </c>
      <c r="Q207" s="1050"/>
    </row>
    <row r="208" spans="2:17" ht="45.75" customHeight="1" hidden="1" outlineLevel="4">
      <c r="B208" s="1850" t="s">
        <v>113</v>
      </c>
      <c r="C208" s="1850"/>
      <c r="D208" s="690">
        <v>210932.2</v>
      </c>
      <c r="E208" s="690">
        <v>114254.79</v>
      </c>
      <c r="F208" s="690">
        <v>96677.41</v>
      </c>
      <c r="G208" s="691"/>
      <c r="H208" s="690">
        <v>2929.61</v>
      </c>
      <c r="I208" s="691"/>
      <c r="J208" s="691"/>
      <c r="K208" s="691"/>
      <c r="L208" s="690">
        <v>210932.2</v>
      </c>
      <c r="M208" s="690">
        <v>117184.4</v>
      </c>
      <c r="N208" s="693">
        <v>93747.8</v>
      </c>
      <c r="O208" s="698">
        <f t="shared" si="6"/>
        <v>35155.32</v>
      </c>
      <c r="P208" s="699">
        <f t="shared" si="11"/>
        <v>61522.090000000004</v>
      </c>
      <c r="Q208" s="1050"/>
    </row>
    <row r="209" spans="2:17" ht="23.25" customHeight="1" hidden="1" outlineLevel="4">
      <c r="B209" s="1850" t="s">
        <v>114</v>
      </c>
      <c r="C209" s="1850"/>
      <c r="D209" s="690">
        <v>73324.58</v>
      </c>
      <c r="E209" s="690">
        <v>41754.4</v>
      </c>
      <c r="F209" s="690">
        <v>31570.18</v>
      </c>
      <c r="G209" s="691"/>
      <c r="H209" s="690">
        <v>1018.4</v>
      </c>
      <c r="I209" s="691"/>
      <c r="J209" s="691"/>
      <c r="K209" s="691"/>
      <c r="L209" s="690">
        <v>73324.58</v>
      </c>
      <c r="M209" s="690">
        <v>42772.8</v>
      </c>
      <c r="N209" s="693">
        <v>30551.78</v>
      </c>
      <c r="O209" s="698">
        <f aca="true" t="shared" si="12" ref="O209:O223">H209*12</f>
        <v>12220.8</v>
      </c>
      <c r="P209" s="699">
        <f t="shared" si="11"/>
        <v>19349.38</v>
      </c>
      <c r="Q209" s="1050"/>
    </row>
    <row r="210" spans="2:17" ht="34.5" customHeight="1" hidden="1" outlineLevel="4">
      <c r="B210" s="1850" t="s">
        <v>115</v>
      </c>
      <c r="C210" s="1850"/>
      <c r="D210" s="690">
        <v>49950</v>
      </c>
      <c r="E210" s="690">
        <v>31912.5</v>
      </c>
      <c r="F210" s="690">
        <v>18037.5</v>
      </c>
      <c r="G210" s="691"/>
      <c r="H210" s="692">
        <v>693.75</v>
      </c>
      <c r="I210" s="691"/>
      <c r="J210" s="691"/>
      <c r="K210" s="691"/>
      <c r="L210" s="690">
        <v>49950</v>
      </c>
      <c r="M210" s="690">
        <v>32606.25</v>
      </c>
      <c r="N210" s="693">
        <v>17343.75</v>
      </c>
      <c r="O210" s="698">
        <f t="shared" si="12"/>
        <v>8325</v>
      </c>
      <c r="P210" s="699">
        <f t="shared" si="11"/>
        <v>9712.5</v>
      </c>
      <c r="Q210" s="1050"/>
    </row>
    <row r="211" spans="2:17" ht="24" customHeight="1" collapsed="1">
      <c r="B211" s="1880" t="s">
        <v>25</v>
      </c>
      <c r="C211" s="1880"/>
      <c r="D211" s="689">
        <v>134991.66</v>
      </c>
      <c r="E211" s="689">
        <v>8974.56</v>
      </c>
      <c r="F211" s="689">
        <v>126017.1</v>
      </c>
      <c r="G211" s="1029"/>
      <c r="H211" s="1028">
        <v>373.94</v>
      </c>
      <c r="I211" s="1029"/>
      <c r="J211" s="1029"/>
      <c r="K211" s="1029"/>
      <c r="L211" s="689">
        <v>134991.66</v>
      </c>
      <c r="M211" s="689">
        <v>9348.5</v>
      </c>
      <c r="N211" s="1027">
        <v>125643.16</v>
      </c>
      <c r="O211" s="700">
        <f t="shared" si="12"/>
        <v>4487.28</v>
      </c>
      <c r="P211" s="701">
        <f t="shared" si="11"/>
        <v>121529.82</v>
      </c>
      <c r="Q211" s="1050">
        <v>1</v>
      </c>
    </row>
    <row r="212" spans="2:17" ht="12" customHeight="1" hidden="1" outlineLevel="1">
      <c r="B212" s="1877" t="s">
        <v>546</v>
      </c>
      <c r="C212" s="1877"/>
      <c r="D212" s="690">
        <v>134991.66</v>
      </c>
      <c r="E212" s="690">
        <v>8974.56</v>
      </c>
      <c r="F212" s="690">
        <v>126017.1</v>
      </c>
      <c r="G212" s="691"/>
      <c r="H212" s="692">
        <v>373.94</v>
      </c>
      <c r="I212" s="691"/>
      <c r="J212" s="691"/>
      <c r="K212" s="691"/>
      <c r="L212" s="690">
        <v>134991.66</v>
      </c>
      <c r="M212" s="690">
        <v>9348.5</v>
      </c>
      <c r="N212" s="693">
        <v>125643.16</v>
      </c>
      <c r="O212" s="700">
        <f t="shared" si="12"/>
        <v>4487.28</v>
      </c>
      <c r="P212" s="701">
        <f t="shared" si="11"/>
        <v>121529.82</v>
      </c>
      <c r="Q212" s="1050"/>
    </row>
    <row r="213" spans="2:17" ht="12" customHeight="1" hidden="1" outlineLevel="2">
      <c r="B213" s="1878" t="s">
        <v>547</v>
      </c>
      <c r="C213" s="1878"/>
      <c r="D213" s="690">
        <v>134991.66</v>
      </c>
      <c r="E213" s="690">
        <v>8974.56</v>
      </c>
      <c r="F213" s="690">
        <v>126017.1</v>
      </c>
      <c r="G213" s="691"/>
      <c r="H213" s="692">
        <v>373.94</v>
      </c>
      <c r="I213" s="691"/>
      <c r="J213" s="691"/>
      <c r="K213" s="691"/>
      <c r="L213" s="690">
        <v>134991.66</v>
      </c>
      <c r="M213" s="690">
        <v>9348.5</v>
      </c>
      <c r="N213" s="693">
        <v>125643.16</v>
      </c>
      <c r="O213" s="700">
        <f t="shared" si="12"/>
        <v>4487.28</v>
      </c>
      <c r="P213" s="701">
        <f t="shared" si="11"/>
        <v>121529.82</v>
      </c>
      <c r="Q213" s="1050"/>
    </row>
    <row r="214" spans="2:17" ht="12" customHeight="1" hidden="1" outlineLevel="3">
      <c r="B214" s="1879" t="s">
        <v>25</v>
      </c>
      <c r="C214" s="1879"/>
      <c r="D214" s="690">
        <v>134991.66</v>
      </c>
      <c r="E214" s="690">
        <v>8974.56</v>
      </c>
      <c r="F214" s="690">
        <v>126017.1</v>
      </c>
      <c r="G214" s="691"/>
      <c r="H214" s="692">
        <v>373.94</v>
      </c>
      <c r="I214" s="691"/>
      <c r="J214" s="691"/>
      <c r="K214" s="691"/>
      <c r="L214" s="690">
        <v>134991.66</v>
      </c>
      <c r="M214" s="690">
        <v>9348.5</v>
      </c>
      <c r="N214" s="693">
        <v>125643.16</v>
      </c>
      <c r="O214" s="700">
        <f t="shared" si="12"/>
        <v>4487.28</v>
      </c>
      <c r="P214" s="701">
        <f t="shared" si="11"/>
        <v>121529.82</v>
      </c>
      <c r="Q214" s="1050"/>
    </row>
    <row r="215" spans="2:17" ht="68.25" customHeight="1" hidden="1" outlineLevel="4">
      <c r="B215" s="1850" t="s">
        <v>116</v>
      </c>
      <c r="C215" s="1850"/>
      <c r="D215" s="690">
        <v>134991.66</v>
      </c>
      <c r="E215" s="690">
        <v>8974.56</v>
      </c>
      <c r="F215" s="690">
        <v>126017.1</v>
      </c>
      <c r="G215" s="691"/>
      <c r="H215" s="692">
        <v>373.94</v>
      </c>
      <c r="I215" s="691"/>
      <c r="J215" s="691"/>
      <c r="K215" s="691"/>
      <c r="L215" s="690">
        <v>134991.66</v>
      </c>
      <c r="M215" s="690">
        <v>9348.5</v>
      </c>
      <c r="N215" s="693">
        <v>125643.16</v>
      </c>
      <c r="O215" s="700">
        <f t="shared" si="12"/>
        <v>4487.28</v>
      </c>
      <c r="P215" s="701">
        <f t="shared" si="11"/>
        <v>121529.82</v>
      </c>
      <c r="Q215" s="1050"/>
    </row>
    <row r="216" spans="2:17" ht="27" customHeight="1" collapsed="1">
      <c r="B216" s="1880" t="s">
        <v>24</v>
      </c>
      <c r="C216" s="1880"/>
      <c r="D216" s="689">
        <f>SUM(D220:D223)</f>
        <v>1364750.01</v>
      </c>
      <c r="E216" s="689">
        <f aca="true" t="shared" si="13" ref="E216:O216">SUM(E220:E223)</f>
        <v>312450.19</v>
      </c>
      <c r="F216" s="689">
        <f t="shared" si="13"/>
        <v>1052299.82</v>
      </c>
      <c r="G216" s="689">
        <f t="shared" si="13"/>
        <v>0</v>
      </c>
      <c r="H216" s="689">
        <f t="shared" si="13"/>
        <v>9240.74</v>
      </c>
      <c r="I216" s="689">
        <f t="shared" si="13"/>
        <v>0</v>
      </c>
      <c r="J216" s="689">
        <f t="shared" si="13"/>
        <v>0</v>
      </c>
      <c r="K216" s="689">
        <f t="shared" si="13"/>
        <v>0</v>
      </c>
      <c r="L216" s="689">
        <f t="shared" si="13"/>
        <v>1364750.01</v>
      </c>
      <c r="M216" s="689">
        <f t="shared" si="13"/>
        <v>321690.93</v>
      </c>
      <c r="N216" s="689">
        <f t="shared" si="13"/>
        <v>1043059.0800000001</v>
      </c>
      <c r="O216" s="689">
        <f t="shared" si="13"/>
        <v>110888.87999999999</v>
      </c>
      <c r="P216" s="701">
        <f t="shared" si="11"/>
        <v>941410.9400000001</v>
      </c>
      <c r="Q216" s="1050">
        <v>1</v>
      </c>
    </row>
    <row r="217" spans="2:17" ht="12" customHeight="1" hidden="1" outlineLevel="1">
      <c r="B217" s="1877" t="s">
        <v>546</v>
      </c>
      <c r="C217" s="1877"/>
      <c r="D217" s="690">
        <v>1364750.01</v>
      </c>
      <c r="E217" s="690">
        <v>312450.19</v>
      </c>
      <c r="F217" s="690">
        <v>1052299.82</v>
      </c>
      <c r="G217" s="691"/>
      <c r="H217" s="690">
        <v>9240.74</v>
      </c>
      <c r="I217" s="691"/>
      <c r="J217" s="691"/>
      <c r="K217" s="691"/>
      <c r="L217" s="690">
        <v>1364750.01</v>
      </c>
      <c r="M217" s="690">
        <v>321690.93</v>
      </c>
      <c r="N217" s="693">
        <v>1043059.08</v>
      </c>
      <c r="O217" s="698">
        <f t="shared" si="12"/>
        <v>110888.88</v>
      </c>
      <c r="P217" s="699">
        <f t="shared" si="11"/>
        <v>941410.9400000001</v>
      </c>
      <c r="Q217" s="1050"/>
    </row>
    <row r="218" spans="2:17" ht="12" customHeight="1" hidden="1" outlineLevel="2">
      <c r="B218" s="1878" t="s">
        <v>547</v>
      </c>
      <c r="C218" s="1878"/>
      <c r="D218" s="690">
        <v>1364750.01</v>
      </c>
      <c r="E218" s="690">
        <v>312450.19</v>
      </c>
      <c r="F218" s="690">
        <v>1052299.82</v>
      </c>
      <c r="G218" s="691"/>
      <c r="H218" s="690">
        <v>9240.74</v>
      </c>
      <c r="I218" s="691"/>
      <c r="J218" s="691"/>
      <c r="K218" s="691"/>
      <c r="L218" s="690">
        <v>1364750.01</v>
      </c>
      <c r="M218" s="690">
        <v>321690.93</v>
      </c>
      <c r="N218" s="693">
        <v>1043059.08</v>
      </c>
      <c r="O218" s="698">
        <f t="shared" si="12"/>
        <v>110888.88</v>
      </c>
      <c r="P218" s="699">
        <f t="shared" si="11"/>
        <v>941410.9400000001</v>
      </c>
      <c r="Q218" s="1050"/>
    </row>
    <row r="219" spans="2:17" ht="34.5" customHeight="1" hidden="1" outlineLevel="3">
      <c r="B219" s="1879" t="s">
        <v>24</v>
      </c>
      <c r="C219" s="1879"/>
      <c r="D219" s="690">
        <v>1364750.01</v>
      </c>
      <c r="E219" s="690">
        <v>312450.19</v>
      </c>
      <c r="F219" s="690">
        <v>1052299.82</v>
      </c>
      <c r="G219" s="691"/>
      <c r="H219" s="690">
        <v>9240.74</v>
      </c>
      <c r="I219" s="691"/>
      <c r="J219" s="691"/>
      <c r="K219" s="691"/>
      <c r="L219" s="690">
        <v>1364750.01</v>
      </c>
      <c r="M219" s="690">
        <v>321690.93</v>
      </c>
      <c r="N219" s="693">
        <v>1043059.08</v>
      </c>
      <c r="O219" s="698">
        <f t="shared" si="12"/>
        <v>110888.88</v>
      </c>
      <c r="P219" s="699">
        <f t="shared" si="11"/>
        <v>941410.9400000001</v>
      </c>
      <c r="Q219" s="1050"/>
    </row>
    <row r="220" spans="2:17" ht="68.25" customHeight="1" hidden="1" outlineLevel="4">
      <c r="B220" s="1850" t="s">
        <v>117</v>
      </c>
      <c r="C220" s="1850"/>
      <c r="D220" s="690">
        <v>274681.6</v>
      </c>
      <c r="E220" s="690">
        <v>4562.8</v>
      </c>
      <c r="F220" s="690">
        <v>270118.8</v>
      </c>
      <c r="G220" s="691"/>
      <c r="H220" s="692">
        <v>912.56</v>
      </c>
      <c r="I220" s="691"/>
      <c r="J220" s="691"/>
      <c r="K220" s="691"/>
      <c r="L220" s="690">
        <v>274681.6</v>
      </c>
      <c r="M220" s="690">
        <v>5475.36</v>
      </c>
      <c r="N220" s="693">
        <v>269206.24</v>
      </c>
      <c r="O220" s="698">
        <f t="shared" si="12"/>
        <v>10950.72</v>
      </c>
      <c r="P220" s="699">
        <f t="shared" si="11"/>
        <v>259168.08</v>
      </c>
      <c r="Q220" s="1050"/>
    </row>
    <row r="221" spans="2:17" ht="34.5" customHeight="1" hidden="1" outlineLevel="4">
      <c r="B221" s="1850" t="s">
        <v>118</v>
      </c>
      <c r="C221" s="1850"/>
      <c r="D221" s="690">
        <v>50110.17</v>
      </c>
      <c r="E221" s="690">
        <v>28534.77</v>
      </c>
      <c r="F221" s="690">
        <v>21575.4</v>
      </c>
      <c r="G221" s="691"/>
      <c r="H221" s="692">
        <v>695.97</v>
      </c>
      <c r="I221" s="691"/>
      <c r="J221" s="691"/>
      <c r="K221" s="691"/>
      <c r="L221" s="690">
        <v>50110.17</v>
      </c>
      <c r="M221" s="690">
        <v>29230.74</v>
      </c>
      <c r="N221" s="693">
        <v>20879.43</v>
      </c>
      <c r="O221" s="698">
        <f t="shared" si="12"/>
        <v>8351.64</v>
      </c>
      <c r="P221" s="699">
        <f t="shared" si="11"/>
        <v>13223.760000000002</v>
      </c>
      <c r="Q221" s="1050"/>
    </row>
    <row r="222" spans="2:17" ht="57" customHeight="1" hidden="1" outlineLevel="4">
      <c r="B222" s="1850" t="s">
        <v>119</v>
      </c>
      <c r="C222" s="1850"/>
      <c r="D222" s="690">
        <v>222559.32</v>
      </c>
      <c r="E222" s="690">
        <v>126735.1</v>
      </c>
      <c r="F222" s="690">
        <v>95824.22</v>
      </c>
      <c r="G222" s="691"/>
      <c r="H222" s="690">
        <v>3091.1</v>
      </c>
      <c r="I222" s="691"/>
      <c r="J222" s="691"/>
      <c r="K222" s="691"/>
      <c r="L222" s="690">
        <v>222559.32</v>
      </c>
      <c r="M222" s="690">
        <v>129826.2</v>
      </c>
      <c r="N222" s="693">
        <v>92733.12</v>
      </c>
      <c r="O222" s="698">
        <f t="shared" si="12"/>
        <v>37093.2</v>
      </c>
      <c r="P222" s="699">
        <f t="shared" si="11"/>
        <v>58731.020000000004</v>
      </c>
      <c r="Q222" s="1050"/>
    </row>
    <row r="223" spans="2:17" ht="57" customHeight="1" hidden="1" outlineLevel="4">
      <c r="B223" s="1850" t="s">
        <v>120</v>
      </c>
      <c r="C223" s="1850"/>
      <c r="D223" s="690">
        <v>817398.92</v>
      </c>
      <c r="E223" s="690">
        <v>152617.52</v>
      </c>
      <c r="F223" s="690">
        <v>664781.4</v>
      </c>
      <c r="G223" s="691"/>
      <c r="H223" s="690">
        <v>4541.11</v>
      </c>
      <c r="I223" s="691"/>
      <c r="J223" s="691"/>
      <c r="K223" s="691"/>
      <c r="L223" s="690">
        <v>817398.92</v>
      </c>
      <c r="M223" s="690">
        <v>157158.63</v>
      </c>
      <c r="N223" s="693">
        <v>660240.29</v>
      </c>
      <c r="O223" s="698">
        <f t="shared" si="12"/>
        <v>54493.31999999999</v>
      </c>
      <c r="P223" s="699">
        <f t="shared" si="11"/>
        <v>610288.0800000001</v>
      </c>
      <c r="Q223" s="1050"/>
    </row>
    <row r="224" spans="2:17" ht="36.75" customHeight="1" collapsed="1">
      <c r="B224" s="1880" t="s">
        <v>23</v>
      </c>
      <c r="C224" s="1880"/>
      <c r="D224" s="689">
        <v>80486</v>
      </c>
      <c r="E224" s="689">
        <v>71784.9</v>
      </c>
      <c r="F224" s="689">
        <v>8701.1</v>
      </c>
      <c r="G224" s="1029"/>
      <c r="H224" s="689">
        <v>2175.3</v>
      </c>
      <c r="I224" s="1029"/>
      <c r="J224" s="1029"/>
      <c r="K224" s="1029"/>
      <c r="L224" s="689">
        <v>80486</v>
      </c>
      <c r="M224" s="689">
        <v>73960.2</v>
      </c>
      <c r="N224" s="1027">
        <v>6525.8</v>
      </c>
      <c r="O224" s="700">
        <f>F224</f>
        <v>8701.1</v>
      </c>
      <c r="P224" s="701">
        <f t="shared" si="11"/>
        <v>0</v>
      </c>
      <c r="Q224" s="1050">
        <v>2.2</v>
      </c>
    </row>
    <row r="225" spans="2:17" ht="12" customHeight="1" hidden="1" outlineLevel="1">
      <c r="B225" s="1877" t="s">
        <v>546</v>
      </c>
      <c r="C225" s="1877"/>
      <c r="D225" s="690">
        <v>80486</v>
      </c>
      <c r="E225" s="690">
        <v>71784.9</v>
      </c>
      <c r="F225" s="690">
        <v>8701.1</v>
      </c>
      <c r="G225" s="691"/>
      <c r="H225" s="690">
        <v>2175.3</v>
      </c>
      <c r="I225" s="691"/>
      <c r="J225" s="691"/>
      <c r="K225" s="691"/>
      <c r="L225" s="690">
        <v>80486</v>
      </c>
      <c r="M225" s="690">
        <v>73960.2</v>
      </c>
      <c r="N225" s="693">
        <v>6525.8</v>
      </c>
      <c r="O225" s="700">
        <f>F225</f>
        <v>8701.1</v>
      </c>
      <c r="P225" s="701"/>
      <c r="Q225" s="1050"/>
    </row>
    <row r="226" spans="2:17" ht="12" customHeight="1" hidden="1" outlineLevel="2">
      <c r="B226" s="1878" t="s">
        <v>547</v>
      </c>
      <c r="C226" s="1878"/>
      <c r="D226" s="690">
        <v>80486</v>
      </c>
      <c r="E226" s="690">
        <v>71784.9</v>
      </c>
      <c r="F226" s="690">
        <v>8701.1</v>
      </c>
      <c r="G226" s="691"/>
      <c r="H226" s="690">
        <v>2175.3</v>
      </c>
      <c r="I226" s="691"/>
      <c r="J226" s="691"/>
      <c r="K226" s="691"/>
      <c r="L226" s="690">
        <v>80486</v>
      </c>
      <c r="M226" s="690">
        <v>73960.2</v>
      </c>
      <c r="N226" s="693">
        <v>6525.8</v>
      </c>
      <c r="O226" s="700">
        <f>F226</f>
        <v>8701.1</v>
      </c>
      <c r="P226" s="701"/>
      <c r="Q226" s="1050"/>
    </row>
    <row r="227" spans="2:17" ht="34.5" customHeight="1" hidden="1" outlineLevel="3">
      <c r="B227" s="1879" t="s">
        <v>23</v>
      </c>
      <c r="C227" s="1879"/>
      <c r="D227" s="690">
        <v>80486</v>
      </c>
      <c r="E227" s="690">
        <v>71784.9</v>
      </c>
      <c r="F227" s="690">
        <v>8701.1</v>
      </c>
      <c r="G227" s="691"/>
      <c r="H227" s="690">
        <v>2175.3</v>
      </c>
      <c r="I227" s="691"/>
      <c r="J227" s="691"/>
      <c r="K227" s="691"/>
      <c r="L227" s="690">
        <v>80486</v>
      </c>
      <c r="M227" s="690">
        <v>73960.2</v>
      </c>
      <c r="N227" s="693">
        <v>6525.8</v>
      </c>
      <c r="O227" s="700">
        <f>F227</f>
        <v>8701.1</v>
      </c>
      <c r="P227" s="701"/>
      <c r="Q227" s="1050"/>
    </row>
    <row r="228" spans="2:17" ht="34.5" customHeight="1" hidden="1" outlineLevel="4">
      <c r="B228" s="1850" t="s">
        <v>121</v>
      </c>
      <c r="C228" s="1850"/>
      <c r="D228" s="690">
        <v>80486</v>
      </c>
      <c r="E228" s="690">
        <v>71784.9</v>
      </c>
      <c r="F228" s="690">
        <v>8701.1</v>
      </c>
      <c r="G228" s="691"/>
      <c r="H228" s="690">
        <v>2175.3</v>
      </c>
      <c r="I228" s="691"/>
      <c r="J228" s="691"/>
      <c r="K228" s="691"/>
      <c r="L228" s="690">
        <v>80486</v>
      </c>
      <c r="M228" s="690">
        <v>73960.2</v>
      </c>
      <c r="N228" s="693">
        <v>6525.8</v>
      </c>
      <c r="O228" s="700">
        <f>F228</f>
        <v>8701.1</v>
      </c>
      <c r="P228" s="701"/>
      <c r="Q228" s="1050"/>
    </row>
    <row r="229" spans="2:17" ht="36.75" customHeight="1" collapsed="1">
      <c r="B229" s="1880" t="s">
        <v>18</v>
      </c>
      <c r="C229" s="1880"/>
      <c r="D229" s="689">
        <v>127389.83</v>
      </c>
      <c r="E229" s="689">
        <v>10441.8</v>
      </c>
      <c r="F229" s="689">
        <v>116948.03</v>
      </c>
      <c r="G229" s="1029"/>
      <c r="H229" s="689">
        <v>2088.36</v>
      </c>
      <c r="I229" s="1029"/>
      <c r="J229" s="1029"/>
      <c r="K229" s="1029"/>
      <c r="L229" s="689">
        <v>127389.83</v>
      </c>
      <c r="M229" s="689">
        <v>12530.16</v>
      </c>
      <c r="N229" s="1027">
        <v>114859.67</v>
      </c>
      <c r="O229" s="700">
        <f aca="true" t="shared" si="14" ref="O229:O288">H229*12</f>
        <v>25060.32</v>
      </c>
      <c r="P229" s="701">
        <f t="shared" si="11"/>
        <v>91887.70999999999</v>
      </c>
      <c r="Q229" s="1050">
        <v>2</v>
      </c>
    </row>
    <row r="230" spans="2:17" ht="12" customHeight="1" hidden="1" outlineLevel="1">
      <c r="B230" s="1877" t="s">
        <v>546</v>
      </c>
      <c r="C230" s="1877"/>
      <c r="D230" s="690">
        <v>127389.83</v>
      </c>
      <c r="E230" s="690">
        <v>10441.8</v>
      </c>
      <c r="F230" s="690">
        <v>116948.03</v>
      </c>
      <c r="G230" s="691"/>
      <c r="H230" s="690">
        <v>2088.36</v>
      </c>
      <c r="I230" s="691"/>
      <c r="J230" s="691"/>
      <c r="K230" s="691"/>
      <c r="L230" s="690">
        <v>127389.83</v>
      </c>
      <c r="M230" s="690">
        <v>12530.16</v>
      </c>
      <c r="N230" s="693">
        <v>114859.67</v>
      </c>
      <c r="O230" s="698">
        <f t="shared" si="14"/>
        <v>25060.32</v>
      </c>
      <c r="P230" s="699">
        <f t="shared" si="11"/>
        <v>91887.70999999999</v>
      </c>
      <c r="Q230" s="1050"/>
    </row>
    <row r="231" spans="2:17" ht="12" customHeight="1" hidden="1" outlineLevel="2">
      <c r="B231" s="1878" t="s">
        <v>547</v>
      </c>
      <c r="C231" s="1878"/>
      <c r="D231" s="690">
        <v>127389.83</v>
      </c>
      <c r="E231" s="690">
        <v>10441.8</v>
      </c>
      <c r="F231" s="690">
        <v>116948.03</v>
      </c>
      <c r="G231" s="691"/>
      <c r="H231" s="690">
        <v>2088.36</v>
      </c>
      <c r="I231" s="691"/>
      <c r="J231" s="691"/>
      <c r="K231" s="691"/>
      <c r="L231" s="690">
        <v>127389.83</v>
      </c>
      <c r="M231" s="690">
        <v>12530.16</v>
      </c>
      <c r="N231" s="693">
        <v>114859.67</v>
      </c>
      <c r="O231" s="698">
        <f t="shared" si="14"/>
        <v>25060.32</v>
      </c>
      <c r="P231" s="699">
        <f t="shared" si="11"/>
        <v>91887.70999999999</v>
      </c>
      <c r="Q231" s="1050"/>
    </row>
    <row r="232" spans="2:17" ht="34.5" customHeight="1" hidden="1" outlineLevel="3">
      <c r="B232" s="1879" t="s">
        <v>18</v>
      </c>
      <c r="C232" s="1879"/>
      <c r="D232" s="690">
        <v>127389.83</v>
      </c>
      <c r="E232" s="690">
        <v>10441.8</v>
      </c>
      <c r="F232" s="690">
        <v>116948.03</v>
      </c>
      <c r="G232" s="691"/>
      <c r="H232" s="690">
        <v>2088.36</v>
      </c>
      <c r="I232" s="691"/>
      <c r="J232" s="691"/>
      <c r="K232" s="691"/>
      <c r="L232" s="690">
        <v>127389.83</v>
      </c>
      <c r="M232" s="690">
        <v>12530.16</v>
      </c>
      <c r="N232" s="693">
        <v>114859.67</v>
      </c>
      <c r="O232" s="698">
        <f t="shared" si="14"/>
        <v>25060.32</v>
      </c>
      <c r="P232" s="699">
        <f t="shared" si="11"/>
        <v>91887.70999999999</v>
      </c>
      <c r="Q232" s="1050"/>
    </row>
    <row r="233" spans="2:17" ht="34.5" customHeight="1" hidden="1" outlineLevel="4">
      <c r="B233" s="1850" t="s">
        <v>122</v>
      </c>
      <c r="C233" s="1850"/>
      <c r="D233" s="690">
        <v>127389.83</v>
      </c>
      <c r="E233" s="690">
        <v>10441.8</v>
      </c>
      <c r="F233" s="690">
        <v>116948.03</v>
      </c>
      <c r="G233" s="691"/>
      <c r="H233" s="690">
        <v>2088.36</v>
      </c>
      <c r="I233" s="691"/>
      <c r="J233" s="691"/>
      <c r="K233" s="691"/>
      <c r="L233" s="690">
        <v>127389.83</v>
      </c>
      <c r="M233" s="690">
        <v>12530.16</v>
      </c>
      <c r="N233" s="693">
        <v>114859.67</v>
      </c>
      <c r="O233" s="698">
        <f t="shared" si="14"/>
        <v>25060.32</v>
      </c>
      <c r="P233" s="699">
        <f t="shared" si="11"/>
        <v>91887.70999999999</v>
      </c>
      <c r="Q233" s="1050"/>
    </row>
    <row r="234" spans="2:17" ht="27" customHeight="1" collapsed="1">
      <c r="B234" s="1880" t="s">
        <v>843</v>
      </c>
      <c r="C234" s="1880"/>
      <c r="D234" s="689">
        <f>SUM(D238:D293)</f>
        <v>13499054.709999997</v>
      </c>
      <c r="E234" s="689">
        <f aca="true" t="shared" si="15" ref="E234:O234">SUM(E238:E293)</f>
        <v>9292821.18</v>
      </c>
      <c r="F234" s="689">
        <f t="shared" si="15"/>
        <v>4206233.53</v>
      </c>
      <c r="G234" s="689">
        <f t="shared" si="15"/>
        <v>0</v>
      </c>
      <c r="H234" s="689">
        <f t="shared" si="15"/>
        <v>48295.32000000001</v>
      </c>
      <c r="I234" s="689">
        <f t="shared" si="15"/>
        <v>0</v>
      </c>
      <c r="J234" s="689">
        <f t="shared" si="15"/>
        <v>0</v>
      </c>
      <c r="K234" s="689">
        <f t="shared" si="15"/>
        <v>0</v>
      </c>
      <c r="L234" s="689">
        <f t="shared" si="15"/>
        <v>13499054.709999997</v>
      </c>
      <c r="M234" s="689">
        <f t="shared" si="15"/>
        <v>9341116.5</v>
      </c>
      <c r="N234" s="689">
        <f t="shared" si="15"/>
        <v>4157938.2100000004</v>
      </c>
      <c r="O234" s="689">
        <f t="shared" si="15"/>
        <v>579543.84</v>
      </c>
      <c r="P234" s="701">
        <f t="shared" si="11"/>
        <v>3626689.6900000004</v>
      </c>
      <c r="Q234" s="1050">
        <v>1</v>
      </c>
    </row>
    <row r="235" spans="2:17" ht="12" customHeight="1" hidden="1" outlineLevel="1">
      <c r="B235" s="1877" t="s">
        <v>546</v>
      </c>
      <c r="C235" s="1877"/>
      <c r="D235" s="690">
        <v>13499054.71</v>
      </c>
      <c r="E235" s="690">
        <v>9292821.18</v>
      </c>
      <c r="F235" s="690">
        <v>4206233.53</v>
      </c>
      <c r="G235" s="691"/>
      <c r="H235" s="690">
        <v>48295.32</v>
      </c>
      <c r="I235" s="691"/>
      <c r="J235" s="691"/>
      <c r="K235" s="691"/>
      <c r="L235" s="690">
        <v>13499054.71</v>
      </c>
      <c r="M235" s="690">
        <v>9341116.5</v>
      </c>
      <c r="N235" s="693">
        <v>4157938.21</v>
      </c>
      <c r="O235" s="698">
        <f t="shared" si="14"/>
        <v>579543.84</v>
      </c>
      <c r="P235" s="699">
        <f t="shared" si="11"/>
        <v>3626689.6900000004</v>
      </c>
      <c r="Q235" s="1050"/>
    </row>
    <row r="236" spans="2:17" ht="12" customHeight="1" hidden="1" outlineLevel="2">
      <c r="B236" s="1878" t="s">
        <v>547</v>
      </c>
      <c r="C236" s="1878"/>
      <c r="D236" s="690">
        <v>13499054.71</v>
      </c>
      <c r="E236" s="690">
        <v>9292821.18</v>
      </c>
      <c r="F236" s="690">
        <v>4206233.53</v>
      </c>
      <c r="G236" s="691"/>
      <c r="H236" s="690">
        <v>48295.32</v>
      </c>
      <c r="I236" s="691"/>
      <c r="J236" s="691"/>
      <c r="K236" s="691"/>
      <c r="L236" s="690">
        <v>13499054.71</v>
      </c>
      <c r="M236" s="690">
        <v>9341116.5</v>
      </c>
      <c r="N236" s="693">
        <v>4157938.21</v>
      </c>
      <c r="O236" s="698">
        <f t="shared" si="14"/>
        <v>579543.84</v>
      </c>
      <c r="P236" s="699">
        <f t="shared" si="11"/>
        <v>3626689.6900000004</v>
      </c>
      <c r="Q236" s="1050"/>
    </row>
    <row r="237" spans="2:17" ht="12" customHeight="1" hidden="1" outlineLevel="3">
      <c r="B237" s="1879" t="s">
        <v>19</v>
      </c>
      <c r="C237" s="1879"/>
      <c r="D237" s="690">
        <v>13499054.71</v>
      </c>
      <c r="E237" s="690">
        <v>9292821.18</v>
      </c>
      <c r="F237" s="690">
        <v>4206233.53</v>
      </c>
      <c r="G237" s="691"/>
      <c r="H237" s="690">
        <v>48295.32</v>
      </c>
      <c r="I237" s="691"/>
      <c r="J237" s="691"/>
      <c r="K237" s="691"/>
      <c r="L237" s="690">
        <v>13499054.71</v>
      </c>
      <c r="M237" s="690">
        <v>9341116.5</v>
      </c>
      <c r="N237" s="693">
        <v>4157938.21</v>
      </c>
      <c r="O237" s="698">
        <f t="shared" si="14"/>
        <v>579543.84</v>
      </c>
      <c r="P237" s="699">
        <f t="shared" si="11"/>
        <v>3626689.6900000004</v>
      </c>
      <c r="Q237" s="1050"/>
    </row>
    <row r="238" spans="2:17" ht="34.5" customHeight="1" hidden="1" outlineLevel="4">
      <c r="B238" s="1850" t="s">
        <v>123</v>
      </c>
      <c r="C238" s="1850"/>
      <c r="D238" s="690">
        <v>297019.12</v>
      </c>
      <c r="E238" s="690">
        <v>123641.96</v>
      </c>
      <c r="F238" s="690">
        <v>173377.16</v>
      </c>
      <c r="G238" s="691"/>
      <c r="H238" s="692">
        <v>382.76</v>
      </c>
      <c r="I238" s="691"/>
      <c r="J238" s="691"/>
      <c r="K238" s="691"/>
      <c r="L238" s="690">
        <v>297019.12</v>
      </c>
      <c r="M238" s="690">
        <v>124024.72</v>
      </c>
      <c r="N238" s="693">
        <v>172994.4</v>
      </c>
      <c r="O238" s="698">
        <f t="shared" si="14"/>
        <v>4593.12</v>
      </c>
      <c r="P238" s="699">
        <f t="shared" si="11"/>
        <v>168784.04</v>
      </c>
      <c r="Q238" s="1050"/>
    </row>
    <row r="239" spans="2:17" ht="23.25" customHeight="1" hidden="1" outlineLevel="4">
      <c r="B239" s="1850" t="s">
        <v>124</v>
      </c>
      <c r="C239" s="1850"/>
      <c r="D239" s="690">
        <v>10217.2</v>
      </c>
      <c r="E239" s="690">
        <v>6254.28</v>
      </c>
      <c r="F239" s="690">
        <v>3962.92</v>
      </c>
      <c r="G239" s="691"/>
      <c r="H239" s="692">
        <v>19.35</v>
      </c>
      <c r="I239" s="691"/>
      <c r="J239" s="691"/>
      <c r="K239" s="691"/>
      <c r="L239" s="690">
        <v>10217.2</v>
      </c>
      <c r="M239" s="690">
        <v>6273.63</v>
      </c>
      <c r="N239" s="693">
        <v>3943.57</v>
      </c>
      <c r="O239" s="698">
        <f t="shared" si="14"/>
        <v>232.20000000000002</v>
      </c>
      <c r="P239" s="699">
        <f t="shared" si="11"/>
        <v>3730.7200000000003</v>
      </c>
      <c r="Q239" s="1050"/>
    </row>
    <row r="240" spans="2:17" ht="23.25" customHeight="1" hidden="1" outlineLevel="4">
      <c r="B240" s="1850" t="s">
        <v>125</v>
      </c>
      <c r="C240" s="1850"/>
      <c r="D240" s="690">
        <v>238015.98</v>
      </c>
      <c r="E240" s="690">
        <v>93119.63</v>
      </c>
      <c r="F240" s="690">
        <v>144896.35</v>
      </c>
      <c r="G240" s="691"/>
      <c r="H240" s="692">
        <v>680.26</v>
      </c>
      <c r="I240" s="691"/>
      <c r="J240" s="691"/>
      <c r="K240" s="691"/>
      <c r="L240" s="690">
        <v>238015.98</v>
      </c>
      <c r="M240" s="690">
        <v>93799.89</v>
      </c>
      <c r="N240" s="693">
        <v>144216.09</v>
      </c>
      <c r="O240" s="698">
        <f t="shared" si="14"/>
        <v>8163.12</v>
      </c>
      <c r="P240" s="699">
        <f t="shared" si="11"/>
        <v>136733.23</v>
      </c>
      <c r="Q240" s="1050"/>
    </row>
    <row r="241" spans="2:17" ht="23.25" customHeight="1" hidden="1" outlineLevel="4">
      <c r="B241" s="1850" t="s">
        <v>126</v>
      </c>
      <c r="C241" s="1850"/>
      <c r="D241" s="690">
        <v>300871.12</v>
      </c>
      <c r="E241" s="690">
        <v>246828.78</v>
      </c>
      <c r="F241" s="690">
        <v>54042.34</v>
      </c>
      <c r="G241" s="691"/>
      <c r="H241" s="692">
        <v>763.63</v>
      </c>
      <c r="I241" s="691"/>
      <c r="J241" s="691"/>
      <c r="K241" s="691"/>
      <c r="L241" s="690">
        <v>300871.12</v>
      </c>
      <c r="M241" s="690">
        <v>247592.41</v>
      </c>
      <c r="N241" s="693">
        <v>53278.71</v>
      </c>
      <c r="O241" s="698">
        <f t="shared" si="14"/>
        <v>9163.56</v>
      </c>
      <c r="P241" s="699">
        <f t="shared" si="11"/>
        <v>44878.78</v>
      </c>
      <c r="Q241" s="1050"/>
    </row>
    <row r="242" spans="2:17" ht="34.5" customHeight="1" hidden="1" outlineLevel="4">
      <c r="B242" s="1850" t="s">
        <v>127</v>
      </c>
      <c r="C242" s="1850"/>
      <c r="D242" s="690">
        <v>622275.04</v>
      </c>
      <c r="E242" s="690">
        <v>622275.04</v>
      </c>
      <c r="F242" s="691"/>
      <c r="G242" s="691"/>
      <c r="H242" s="691"/>
      <c r="I242" s="691"/>
      <c r="J242" s="691"/>
      <c r="K242" s="691"/>
      <c r="L242" s="690">
        <v>622275.04</v>
      </c>
      <c r="M242" s="690">
        <v>622275.04</v>
      </c>
      <c r="N242" s="695"/>
      <c r="O242" s="698">
        <f t="shared" si="14"/>
        <v>0</v>
      </c>
      <c r="P242" s="699">
        <f t="shared" si="11"/>
        <v>0</v>
      </c>
      <c r="Q242" s="1050"/>
    </row>
    <row r="243" spans="2:17" ht="45.75" customHeight="1" hidden="1" outlineLevel="4">
      <c r="B243" s="1850" t="s">
        <v>128</v>
      </c>
      <c r="C243" s="1850"/>
      <c r="D243" s="690">
        <v>196781.07</v>
      </c>
      <c r="E243" s="690">
        <v>196781.07</v>
      </c>
      <c r="F243" s="691"/>
      <c r="G243" s="691"/>
      <c r="H243" s="691"/>
      <c r="I243" s="691"/>
      <c r="J243" s="691"/>
      <c r="K243" s="691"/>
      <c r="L243" s="690">
        <v>196781.07</v>
      </c>
      <c r="M243" s="690">
        <v>196781.07</v>
      </c>
      <c r="N243" s="695"/>
      <c r="O243" s="698">
        <f t="shared" si="14"/>
        <v>0</v>
      </c>
      <c r="P243" s="699">
        <f t="shared" si="11"/>
        <v>0</v>
      </c>
      <c r="Q243" s="1050"/>
    </row>
    <row r="244" spans="2:17" ht="45.75" customHeight="1" hidden="1" outlineLevel="4">
      <c r="B244" s="1850" t="s">
        <v>129</v>
      </c>
      <c r="C244" s="1850"/>
      <c r="D244" s="690">
        <v>984512.83</v>
      </c>
      <c r="E244" s="690">
        <v>482113.03</v>
      </c>
      <c r="F244" s="690">
        <v>502399.8</v>
      </c>
      <c r="G244" s="691"/>
      <c r="H244" s="690">
        <v>1491.69</v>
      </c>
      <c r="I244" s="691"/>
      <c r="J244" s="691"/>
      <c r="K244" s="691"/>
      <c r="L244" s="690">
        <v>984512.83</v>
      </c>
      <c r="M244" s="690">
        <v>483604.72</v>
      </c>
      <c r="N244" s="693">
        <v>500908.11</v>
      </c>
      <c r="O244" s="698">
        <f t="shared" si="14"/>
        <v>17900.28</v>
      </c>
      <c r="P244" s="699">
        <f t="shared" si="11"/>
        <v>484499.52</v>
      </c>
      <c r="Q244" s="1050"/>
    </row>
    <row r="245" spans="2:17" ht="23.25" customHeight="1" hidden="1" outlineLevel="4">
      <c r="B245" s="1850" t="s">
        <v>130</v>
      </c>
      <c r="C245" s="1850"/>
      <c r="D245" s="690">
        <v>138015.22</v>
      </c>
      <c r="E245" s="690">
        <v>84481.73</v>
      </c>
      <c r="F245" s="690">
        <v>53533.49</v>
      </c>
      <c r="G245" s="691"/>
      <c r="H245" s="692">
        <v>261.39</v>
      </c>
      <c r="I245" s="691"/>
      <c r="J245" s="691"/>
      <c r="K245" s="691"/>
      <c r="L245" s="690">
        <v>138015.22</v>
      </c>
      <c r="M245" s="690">
        <v>84743.12</v>
      </c>
      <c r="N245" s="693">
        <v>53272.1</v>
      </c>
      <c r="O245" s="698">
        <f t="shared" si="14"/>
        <v>3136.68</v>
      </c>
      <c r="P245" s="699">
        <f t="shared" si="11"/>
        <v>50396.81</v>
      </c>
      <c r="Q245" s="1050"/>
    </row>
    <row r="246" spans="2:17" ht="23.25" customHeight="1" hidden="1" outlineLevel="4">
      <c r="B246" s="1850" t="s">
        <v>131</v>
      </c>
      <c r="C246" s="1850"/>
      <c r="D246" s="690">
        <v>2716053.3</v>
      </c>
      <c r="E246" s="690">
        <v>1330043.18</v>
      </c>
      <c r="F246" s="690">
        <v>1386010.12</v>
      </c>
      <c r="G246" s="691"/>
      <c r="H246" s="690">
        <v>4115.23</v>
      </c>
      <c r="I246" s="691"/>
      <c r="J246" s="691"/>
      <c r="K246" s="691"/>
      <c r="L246" s="690">
        <v>2716053.3</v>
      </c>
      <c r="M246" s="690">
        <v>1334158.41</v>
      </c>
      <c r="N246" s="693">
        <v>1381894.89</v>
      </c>
      <c r="O246" s="698">
        <f t="shared" si="14"/>
        <v>49382.759999999995</v>
      </c>
      <c r="P246" s="699">
        <f t="shared" si="11"/>
        <v>1336627.36</v>
      </c>
      <c r="Q246" s="1050"/>
    </row>
    <row r="247" spans="2:17" ht="23.25" customHeight="1" hidden="1" outlineLevel="4">
      <c r="B247" s="1850" t="s">
        <v>132</v>
      </c>
      <c r="C247" s="1850"/>
      <c r="D247" s="690">
        <v>75932</v>
      </c>
      <c r="E247" s="690">
        <v>69232.16</v>
      </c>
      <c r="F247" s="690">
        <v>6699.84</v>
      </c>
      <c r="G247" s="691"/>
      <c r="H247" s="692">
        <v>148.89</v>
      </c>
      <c r="I247" s="691"/>
      <c r="J247" s="691"/>
      <c r="K247" s="691"/>
      <c r="L247" s="690">
        <v>75932</v>
      </c>
      <c r="M247" s="690">
        <v>69381.05</v>
      </c>
      <c r="N247" s="693">
        <v>6550.95</v>
      </c>
      <c r="O247" s="698">
        <f t="shared" si="14"/>
        <v>1786.6799999999998</v>
      </c>
      <c r="P247" s="699">
        <f t="shared" si="11"/>
        <v>4913.16</v>
      </c>
      <c r="Q247" s="1050"/>
    </row>
    <row r="248" spans="2:17" ht="23.25" customHeight="1" hidden="1" outlineLevel="4">
      <c r="B248" s="1850" t="s">
        <v>133</v>
      </c>
      <c r="C248" s="1850"/>
      <c r="D248" s="690">
        <v>31354.18</v>
      </c>
      <c r="E248" s="690">
        <v>16102.98</v>
      </c>
      <c r="F248" s="690">
        <v>15251.2</v>
      </c>
      <c r="G248" s="691"/>
      <c r="H248" s="692">
        <v>49.85</v>
      </c>
      <c r="I248" s="691"/>
      <c r="J248" s="691"/>
      <c r="K248" s="691"/>
      <c r="L248" s="690">
        <v>31354.18</v>
      </c>
      <c r="M248" s="690">
        <v>16152.83</v>
      </c>
      <c r="N248" s="693">
        <v>15201.35</v>
      </c>
      <c r="O248" s="698">
        <f t="shared" si="14"/>
        <v>598.2</v>
      </c>
      <c r="P248" s="699">
        <f t="shared" si="11"/>
        <v>14653</v>
      </c>
      <c r="Q248" s="1050"/>
    </row>
    <row r="249" spans="2:17" ht="34.5" customHeight="1" hidden="1" outlineLevel="4">
      <c r="B249" s="1850" t="s">
        <v>134</v>
      </c>
      <c r="C249" s="1850"/>
      <c r="D249" s="690">
        <v>40502.32</v>
      </c>
      <c r="E249" s="690">
        <v>17415.87</v>
      </c>
      <c r="F249" s="690">
        <v>23086.45</v>
      </c>
      <c r="G249" s="691"/>
      <c r="H249" s="692">
        <v>195.66</v>
      </c>
      <c r="I249" s="691"/>
      <c r="J249" s="691"/>
      <c r="K249" s="691"/>
      <c r="L249" s="690">
        <v>40502.32</v>
      </c>
      <c r="M249" s="690">
        <v>17611.53</v>
      </c>
      <c r="N249" s="693">
        <v>22890.79</v>
      </c>
      <c r="O249" s="698">
        <f t="shared" si="14"/>
        <v>2347.92</v>
      </c>
      <c r="P249" s="699">
        <f t="shared" si="11"/>
        <v>20738.53</v>
      </c>
      <c r="Q249" s="1050"/>
    </row>
    <row r="250" spans="2:17" ht="34.5" customHeight="1" hidden="1" outlineLevel="4">
      <c r="B250" s="1850" t="s">
        <v>135</v>
      </c>
      <c r="C250" s="1850"/>
      <c r="D250" s="690">
        <v>46245.76</v>
      </c>
      <c r="E250" s="690">
        <v>36329.3</v>
      </c>
      <c r="F250" s="690">
        <v>9916.46</v>
      </c>
      <c r="G250" s="691"/>
      <c r="H250" s="692">
        <v>290.85</v>
      </c>
      <c r="I250" s="691"/>
      <c r="J250" s="691"/>
      <c r="K250" s="691"/>
      <c r="L250" s="690">
        <v>46245.76</v>
      </c>
      <c r="M250" s="690">
        <v>36620.15</v>
      </c>
      <c r="N250" s="693">
        <v>9625.61</v>
      </c>
      <c r="O250" s="698">
        <f t="shared" si="14"/>
        <v>3490.2000000000003</v>
      </c>
      <c r="P250" s="699">
        <f t="shared" si="11"/>
        <v>6426.259999999998</v>
      </c>
      <c r="Q250" s="1050"/>
    </row>
    <row r="251" spans="2:17" ht="34.5" customHeight="1" hidden="1" outlineLevel="4">
      <c r="B251" s="1850" t="s">
        <v>136</v>
      </c>
      <c r="C251" s="1850"/>
      <c r="D251" s="690">
        <v>60373.52</v>
      </c>
      <c r="E251" s="690">
        <v>11990.16</v>
      </c>
      <c r="F251" s="690">
        <v>48383.36</v>
      </c>
      <c r="G251" s="691"/>
      <c r="H251" s="692">
        <v>144.43</v>
      </c>
      <c r="I251" s="691"/>
      <c r="J251" s="691"/>
      <c r="K251" s="691"/>
      <c r="L251" s="690">
        <v>60373.52</v>
      </c>
      <c r="M251" s="690">
        <v>12134.59</v>
      </c>
      <c r="N251" s="693">
        <v>48238.93</v>
      </c>
      <c r="O251" s="698">
        <f t="shared" si="14"/>
        <v>1733.16</v>
      </c>
      <c r="P251" s="699">
        <f t="shared" si="11"/>
        <v>46650.2</v>
      </c>
      <c r="Q251" s="1050"/>
    </row>
    <row r="252" spans="2:17" ht="45.75" customHeight="1" hidden="1" outlineLevel="4">
      <c r="B252" s="1850" t="s">
        <v>137</v>
      </c>
      <c r="C252" s="1850"/>
      <c r="D252" s="690">
        <v>44250</v>
      </c>
      <c r="E252" s="690">
        <v>33811.52</v>
      </c>
      <c r="F252" s="690">
        <v>10438.48</v>
      </c>
      <c r="G252" s="691"/>
      <c r="H252" s="692">
        <v>255.78</v>
      </c>
      <c r="I252" s="691"/>
      <c r="J252" s="691"/>
      <c r="K252" s="691"/>
      <c r="L252" s="690">
        <v>44250</v>
      </c>
      <c r="M252" s="690">
        <v>34067.3</v>
      </c>
      <c r="N252" s="693">
        <v>10182.7</v>
      </c>
      <c r="O252" s="698">
        <f t="shared" si="14"/>
        <v>3069.36</v>
      </c>
      <c r="P252" s="699">
        <f t="shared" si="11"/>
        <v>7369.119999999999</v>
      </c>
      <c r="Q252" s="1050"/>
    </row>
    <row r="253" spans="2:17" ht="57" customHeight="1" hidden="1" outlineLevel="4">
      <c r="B253" s="1850" t="s">
        <v>138</v>
      </c>
      <c r="C253" s="1850"/>
      <c r="D253" s="690">
        <v>196850</v>
      </c>
      <c r="E253" s="690">
        <v>196850</v>
      </c>
      <c r="F253" s="691"/>
      <c r="G253" s="691"/>
      <c r="H253" s="691"/>
      <c r="I253" s="691"/>
      <c r="J253" s="691"/>
      <c r="K253" s="691"/>
      <c r="L253" s="690">
        <v>196850</v>
      </c>
      <c r="M253" s="690">
        <v>196850</v>
      </c>
      <c r="N253" s="695"/>
      <c r="O253" s="698">
        <f t="shared" si="14"/>
        <v>0</v>
      </c>
      <c r="P253" s="699">
        <f t="shared" si="11"/>
        <v>0</v>
      </c>
      <c r="Q253" s="1050"/>
    </row>
    <row r="254" spans="2:17" ht="57" customHeight="1" hidden="1" outlineLevel="4">
      <c r="B254" s="1850" t="s">
        <v>139</v>
      </c>
      <c r="C254" s="1850"/>
      <c r="D254" s="690">
        <v>240508.47</v>
      </c>
      <c r="E254" s="690">
        <v>102831.05</v>
      </c>
      <c r="F254" s="690">
        <v>137677.42</v>
      </c>
      <c r="G254" s="691"/>
      <c r="H254" s="692">
        <v>917.97</v>
      </c>
      <c r="I254" s="691"/>
      <c r="J254" s="691"/>
      <c r="K254" s="691"/>
      <c r="L254" s="690">
        <v>240508.47</v>
      </c>
      <c r="M254" s="690">
        <v>103749.02</v>
      </c>
      <c r="N254" s="693">
        <v>136759.45</v>
      </c>
      <c r="O254" s="698">
        <f t="shared" si="14"/>
        <v>11015.64</v>
      </c>
      <c r="P254" s="699">
        <f t="shared" si="11"/>
        <v>126661.78000000001</v>
      </c>
      <c r="Q254" s="1050"/>
    </row>
    <row r="255" spans="2:17" ht="57" customHeight="1" hidden="1" outlineLevel="4">
      <c r="B255" s="1850" t="s">
        <v>140</v>
      </c>
      <c r="C255" s="1850"/>
      <c r="D255" s="690">
        <v>43400</v>
      </c>
      <c r="E255" s="690">
        <v>37591.01</v>
      </c>
      <c r="F255" s="690">
        <v>5808.99</v>
      </c>
      <c r="G255" s="691"/>
      <c r="H255" s="692">
        <v>305.63</v>
      </c>
      <c r="I255" s="691"/>
      <c r="J255" s="691"/>
      <c r="K255" s="691"/>
      <c r="L255" s="690">
        <v>43400</v>
      </c>
      <c r="M255" s="690">
        <v>37896.64</v>
      </c>
      <c r="N255" s="693">
        <v>5503.36</v>
      </c>
      <c r="O255" s="698">
        <f t="shared" si="14"/>
        <v>3667.56</v>
      </c>
      <c r="P255" s="699">
        <f t="shared" si="11"/>
        <v>2141.43</v>
      </c>
      <c r="Q255" s="1050"/>
    </row>
    <row r="256" spans="2:17" ht="34.5" customHeight="1" hidden="1" outlineLevel="4">
      <c r="B256" s="1850" t="s">
        <v>141</v>
      </c>
      <c r="C256" s="1850"/>
      <c r="D256" s="690">
        <v>257609.56</v>
      </c>
      <c r="E256" s="690">
        <v>157688.81</v>
      </c>
      <c r="F256" s="690">
        <v>99920.75</v>
      </c>
      <c r="G256" s="691"/>
      <c r="H256" s="692">
        <v>487.9</v>
      </c>
      <c r="I256" s="691"/>
      <c r="J256" s="691"/>
      <c r="K256" s="691"/>
      <c r="L256" s="690">
        <v>257609.56</v>
      </c>
      <c r="M256" s="690">
        <v>158176.71</v>
      </c>
      <c r="N256" s="693">
        <v>99432.85</v>
      </c>
      <c r="O256" s="698">
        <f t="shared" si="14"/>
        <v>5854.799999999999</v>
      </c>
      <c r="P256" s="699">
        <f t="shared" si="11"/>
        <v>94065.95</v>
      </c>
      <c r="Q256" s="1050"/>
    </row>
    <row r="257" spans="2:17" ht="34.5" customHeight="1" hidden="1" outlineLevel="4">
      <c r="B257" s="1850" t="s">
        <v>61</v>
      </c>
      <c r="C257" s="1850"/>
      <c r="D257" s="690">
        <v>257609.56</v>
      </c>
      <c r="E257" s="690">
        <v>157688.8</v>
      </c>
      <c r="F257" s="690">
        <v>99920.76</v>
      </c>
      <c r="G257" s="691"/>
      <c r="H257" s="692">
        <v>487.9</v>
      </c>
      <c r="I257" s="691"/>
      <c r="J257" s="691"/>
      <c r="K257" s="691"/>
      <c r="L257" s="690">
        <v>257609.56</v>
      </c>
      <c r="M257" s="690">
        <v>158176.7</v>
      </c>
      <c r="N257" s="693">
        <v>99432.86</v>
      </c>
      <c r="O257" s="698">
        <f t="shared" si="14"/>
        <v>5854.799999999999</v>
      </c>
      <c r="P257" s="699">
        <f t="shared" si="11"/>
        <v>94065.95999999999</v>
      </c>
      <c r="Q257" s="1050"/>
    </row>
    <row r="258" spans="2:17" ht="34.5" customHeight="1" hidden="1" outlineLevel="4">
      <c r="B258" s="1850" t="s">
        <v>62</v>
      </c>
      <c r="C258" s="1850"/>
      <c r="D258" s="690">
        <v>43578.08</v>
      </c>
      <c r="E258" s="690">
        <v>26675.03</v>
      </c>
      <c r="F258" s="690">
        <v>16903.05</v>
      </c>
      <c r="G258" s="691"/>
      <c r="H258" s="692">
        <v>82.53</v>
      </c>
      <c r="I258" s="691"/>
      <c r="J258" s="691"/>
      <c r="K258" s="691"/>
      <c r="L258" s="690">
        <v>43578.08</v>
      </c>
      <c r="M258" s="690">
        <v>26757.56</v>
      </c>
      <c r="N258" s="693">
        <v>16820.52</v>
      </c>
      <c r="O258" s="698">
        <f t="shared" si="14"/>
        <v>990.36</v>
      </c>
      <c r="P258" s="699">
        <f t="shared" si="11"/>
        <v>15912.689999999999</v>
      </c>
      <c r="Q258" s="1050"/>
    </row>
    <row r="259" spans="2:17" ht="34.5" customHeight="1" hidden="1" outlineLevel="4">
      <c r="B259" s="1850" t="s">
        <v>63</v>
      </c>
      <c r="C259" s="1850"/>
      <c r="D259" s="690">
        <v>19837.44</v>
      </c>
      <c r="E259" s="690">
        <v>19837.44</v>
      </c>
      <c r="F259" s="691"/>
      <c r="G259" s="691"/>
      <c r="H259" s="691"/>
      <c r="I259" s="691"/>
      <c r="J259" s="691"/>
      <c r="K259" s="691"/>
      <c r="L259" s="690">
        <v>19837.44</v>
      </c>
      <c r="M259" s="690">
        <v>19837.44</v>
      </c>
      <c r="N259" s="695"/>
      <c r="O259" s="698">
        <f t="shared" si="14"/>
        <v>0</v>
      </c>
      <c r="P259" s="699">
        <f t="shared" si="11"/>
        <v>0</v>
      </c>
      <c r="Q259" s="1050"/>
    </row>
    <row r="260" spans="2:17" ht="45.75" customHeight="1" hidden="1" outlineLevel="4">
      <c r="B260" s="1850" t="s">
        <v>64</v>
      </c>
      <c r="C260" s="1850"/>
      <c r="D260" s="690">
        <v>37542</v>
      </c>
      <c r="E260" s="690">
        <v>28122</v>
      </c>
      <c r="F260" s="690">
        <v>9420</v>
      </c>
      <c r="G260" s="691"/>
      <c r="H260" s="692">
        <v>242.21</v>
      </c>
      <c r="I260" s="691"/>
      <c r="J260" s="691"/>
      <c r="K260" s="691"/>
      <c r="L260" s="690">
        <v>37542</v>
      </c>
      <c r="M260" s="690">
        <v>28364.21</v>
      </c>
      <c r="N260" s="693">
        <v>9177.79</v>
      </c>
      <c r="O260" s="698">
        <f t="shared" si="14"/>
        <v>2906.52</v>
      </c>
      <c r="P260" s="699">
        <f t="shared" si="11"/>
        <v>6513.48</v>
      </c>
      <c r="Q260" s="1050"/>
    </row>
    <row r="261" spans="2:17" ht="34.5" customHeight="1" hidden="1" outlineLevel="4">
      <c r="B261" s="1850" t="s">
        <v>65</v>
      </c>
      <c r="C261" s="1850"/>
      <c r="D261" s="690">
        <v>69381.84</v>
      </c>
      <c r="E261" s="690">
        <v>67952.2</v>
      </c>
      <c r="F261" s="690">
        <v>1429.64</v>
      </c>
      <c r="G261" s="691"/>
      <c r="H261" s="692">
        <v>210.25</v>
      </c>
      <c r="I261" s="691"/>
      <c r="J261" s="691"/>
      <c r="K261" s="691"/>
      <c r="L261" s="690">
        <v>69381.84</v>
      </c>
      <c r="M261" s="690">
        <v>68162.45</v>
      </c>
      <c r="N261" s="693">
        <v>1219.39</v>
      </c>
      <c r="O261" s="698">
        <f t="shared" si="14"/>
        <v>2523</v>
      </c>
      <c r="P261" s="699">
        <f t="shared" si="11"/>
        <v>-1093.36</v>
      </c>
      <c r="Q261" s="1050"/>
    </row>
    <row r="262" spans="2:17" ht="23.25" customHeight="1" hidden="1" outlineLevel="4">
      <c r="B262" s="1850" t="s">
        <v>66</v>
      </c>
      <c r="C262" s="1850"/>
      <c r="D262" s="690">
        <v>13946.56</v>
      </c>
      <c r="E262" s="690">
        <v>13659.19</v>
      </c>
      <c r="F262" s="692">
        <v>287.37</v>
      </c>
      <c r="G262" s="691"/>
      <c r="H262" s="692">
        <v>42.26</v>
      </c>
      <c r="I262" s="691"/>
      <c r="J262" s="691"/>
      <c r="K262" s="691"/>
      <c r="L262" s="690">
        <v>13946.56</v>
      </c>
      <c r="M262" s="690">
        <v>13701.45</v>
      </c>
      <c r="N262" s="694">
        <v>245.11</v>
      </c>
      <c r="O262" s="698">
        <f t="shared" si="14"/>
        <v>507.12</v>
      </c>
      <c r="P262" s="699">
        <f t="shared" si="11"/>
        <v>-219.75</v>
      </c>
      <c r="Q262" s="1050"/>
    </row>
    <row r="263" spans="2:17" ht="23.25" customHeight="1" hidden="1" outlineLevel="4">
      <c r="B263" s="1850" t="s">
        <v>67</v>
      </c>
      <c r="C263" s="1850"/>
      <c r="D263" s="690">
        <v>13946.56</v>
      </c>
      <c r="E263" s="690">
        <v>13659.19</v>
      </c>
      <c r="F263" s="692">
        <v>287.37</v>
      </c>
      <c r="G263" s="691"/>
      <c r="H263" s="692">
        <v>42.26</v>
      </c>
      <c r="I263" s="691"/>
      <c r="J263" s="691"/>
      <c r="K263" s="691"/>
      <c r="L263" s="690">
        <v>13946.56</v>
      </c>
      <c r="M263" s="690">
        <v>13701.45</v>
      </c>
      <c r="N263" s="694">
        <v>245.11</v>
      </c>
      <c r="O263" s="698">
        <f t="shared" si="14"/>
        <v>507.12</v>
      </c>
      <c r="P263" s="699">
        <f t="shared" si="11"/>
        <v>-219.75</v>
      </c>
      <c r="Q263" s="1050"/>
    </row>
    <row r="264" spans="2:17" ht="23.25" customHeight="1" hidden="1" outlineLevel="4">
      <c r="B264" s="1850" t="s">
        <v>68</v>
      </c>
      <c r="C264" s="1850"/>
      <c r="D264" s="690">
        <v>13946.56</v>
      </c>
      <c r="E264" s="690">
        <v>13659.19</v>
      </c>
      <c r="F264" s="692">
        <v>287.37</v>
      </c>
      <c r="G264" s="691"/>
      <c r="H264" s="692">
        <v>42.26</v>
      </c>
      <c r="I264" s="691"/>
      <c r="J264" s="691"/>
      <c r="K264" s="691"/>
      <c r="L264" s="690">
        <v>13946.56</v>
      </c>
      <c r="M264" s="690">
        <v>13701.45</v>
      </c>
      <c r="N264" s="694">
        <v>245.11</v>
      </c>
      <c r="O264" s="698">
        <f t="shared" si="14"/>
        <v>507.12</v>
      </c>
      <c r="P264" s="699">
        <f t="shared" si="11"/>
        <v>-219.75</v>
      </c>
      <c r="Q264" s="1050"/>
    </row>
    <row r="265" spans="2:17" ht="23.25" customHeight="1" hidden="1" outlineLevel="4">
      <c r="B265" s="1850" t="s">
        <v>69</v>
      </c>
      <c r="C265" s="1850"/>
      <c r="D265" s="690">
        <v>13946.56</v>
      </c>
      <c r="E265" s="690">
        <v>13659.19</v>
      </c>
      <c r="F265" s="692">
        <v>287.37</v>
      </c>
      <c r="G265" s="691"/>
      <c r="H265" s="692">
        <v>42.26</v>
      </c>
      <c r="I265" s="691"/>
      <c r="J265" s="691"/>
      <c r="K265" s="691"/>
      <c r="L265" s="690">
        <v>13946.56</v>
      </c>
      <c r="M265" s="690">
        <v>13701.45</v>
      </c>
      <c r="N265" s="694">
        <v>245.11</v>
      </c>
      <c r="O265" s="698">
        <f t="shared" si="14"/>
        <v>507.12</v>
      </c>
      <c r="P265" s="699">
        <f t="shared" si="11"/>
        <v>-219.75</v>
      </c>
      <c r="Q265" s="1050"/>
    </row>
    <row r="266" spans="2:17" ht="23.25" customHeight="1" hidden="1" outlineLevel="4">
      <c r="B266" s="1850" t="s">
        <v>70</v>
      </c>
      <c r="C266" s="1850"/>
      <c r="D266" s="690">
        <v>255037.38</v>
      </c>
      <c r="E266" s="690">
        <v>74631.85</v>
      </c>
      <c r="F266" s="690">
        <v>180405.53</v>
      </c>
      <c r="G266" s="691"/>
      <c r="H266" s="692">
        <v>231.01</v>
      </c>
      <c r="I266" s="691"/>
      <c r="J266" s="691"/>
      <c r="K266" s="691"/>
      <c r="L266" s="690">
        <v>255037.38</v>
      </c>
      <c r="M266" s="690">
        <v>74862.86</v>
      </c>
      <c r="N266" s="693">
        <v>180174.52</v>
      </c>
      <c r="O266" s="698">
        <f t="shared" si="14"/>
        <v>2772.12</v>
      </c>
      <c r="P266" s="699">
        <f t="shared" si="11"/>
        <v>177633.41</v>
      </c>
      <c r="Q266" s="1050"/>
    </row>
    <row r="267" spans="2:17" ht="34.5" customHeight="1" hidden="1" outlineLevel="4">
      <c r="B267" s="1850" t="s">
        <v>71</v>
      </c>
      <c r="C267" s="1850"/>
      <c r="D267" s="690">
        <v>60135.52</v>
      </c>
      <c r="E267" s="690">
        <v>32006.77</v>
      </c>
      <c r="F267" s="690">
        <v>28128.75</v>
      </c>
      <c r="G267" s="691"/>
      <c r="H267" s="692">
        <v>99.07</v>
      </c>
      <c r="I267" s="691"/>
      <c r="J267" s="691"/>
      <c r="K267" s="691"/>
      <c r="L267" s="690">
        <v>60135.52</v>
      </c>
      <c r="M267" s="690">
        <v>32105.84</v>
      </c>
      <c r="N267" s="693">
        <v>28029.68</v>
      </c>
      <c r="O267" s="698">
        <f t="shared" si="14"/>
        <v>1188.84</v>
      </c>
      <c r="P267" s="699">
        <f t="shared" si="11"/>
        <v>26939.91</v>
      </c>
      <c r="Q267" s="1050"/>
    </row>
    <row r="268" spans="2:17" ht="79.5" customHeight="1" hidden="1" outlineLevel="4">
      <c r="B268" s="1850" t="s">
        <v>72</v>
      </c>
      <c r="C268" s="1850"/>
      <c r="D268" s="690">
        <v>5662912.9</v>
      </c>
      <c r="E268" s="690">
        <v>4555399.66</v>
      </c>
      <c r="F268" s="690">
        <v>1107513.24</v>
      </c>
      <c r="G268" s="691"/>
      <c r="H268" s="690">
        <v>34741.8</v>
      </c>
      <c r="I268" s="691"/>
      <c r="J268" s="691"/>
      <c r="K268" s="691"/>
      <c r="L268" s="690">
        <v>5662912.9</v>
      </c>
      <c r="M268" s="690">
        <v>4590141.46</v>
      </c>
      <c r="N268" s="693">
        <v>1072771.44</v>
      </c>
      <c r="O268" s="698">
        <f t="shared" si="14"/>
        <v>416901.60000000003</v>
      </c>
      <c r="P268" s="699">
        <f aca="true" t="shared" si="16" ref="P268:P331">F268-O268</f>
        <v>690611.6399999999</v>
      </c>
      <c r="Q268" s="1050"/>
    </row>
    <row r="269" spans="2:17" ht="34.5" customHeight="1" hidden="1" outlineLevel="4">
      <c r="B269" s="1850" t="s">
        <v>73</v>
      </c>
      <c r="C269" s="1850"/>
      <c r="D269" s="690">
        <v>40502.32</v>
      </c>
      <c r="E269" s="690">
        <v>17415.87</v>
      </c>
      <c r="F269" s="690">
        <v>23086.45</v>
      </c>
      <c r="G269" s="691"/>
      <c r="H269" s="692">
        <v>195.66</v>
      </c>
      <c r="I269" s="691"/>
      <c r="J269" s="691"/>
      <c r="K269" s="691"/>
      <c r="L269" s="690">
        <v>40502.32</v>
      </c>
      <c r="M269" s="690">
        <v>17611.53</v>
      </c>
      <c r="N269" s="693">
        <v>22890.79</v>
      </c>
      <c r="O269" s="698">
        <f t="shared" si="14"/>
        <v>2347.92</v>
      </c>
      <c r="P269" s="699">
        <f t="shared" si="16"/>
        <v>20738.53</v>
      </c>
      <c r="Q269" s="1050"/>
    </row>
    <row r="270" spans="2:17" ht="45.75" customHeight="1" hidden="1" outlineLevel="4">
      <c r="B270" s="1850" t="s">
        <v>74</v>
      </c>
      <c r="C270" s="1850"/>
      <c r="D270" s="690">
        <v>11100.02</v>
      </c>
      <c r="E270" s="690">
        <v>7741.61</v>
      </c>
      <c r="F270" s="690">
        <v>3358.41</v>
      </c>
      <c r="G270" s="691"/>
      <c r="H270" s="692">
        <v>24.13</v>
      </c>
      <c r="I270" s="691"/>
      <c r="J270" s="691"/>
      <c r="K270" s="691"/>
      <c r="L270" s="690">
        <v>11100.02</v>
      </c>
      <c r="M270" s="690">
        <v>7765.74</v>
      </c>
      <c r="N270" s="693">
        <v>3334.28</v>
      </c>
      <c r="O270" s="698">
        <f t="shared" si="14"/>
        <v>289.56</v>
      </c>
      <c r="P270" s="699">
        <f t="shared" si="16"/>
        <v>3068.85</v>
      </c>
      <c r="Q270" s="1050"/>
    </row>
    <row r="271" spans="2:17" ht="23.25" customHeight="1" hidden="1" outlineLevel="4">
      <c r="B271" s="1850" t="s">
        <v>75</v>
      </c>
      <c r="C271" s="1850"/>
      <c r="D271" s="690">
        <v>29691.12</v>
      </c>
      <c r="E271" s="690">
        <v>29691.12</v>
      </c>
      <c r="F271" s="691"/>
      <c r="G271" s="691"/>
      <c r="H271" s="691"/>
      <c r="I271" s="691"/>
      <c r="J271" s="691"/>
      <c r="K271" s="691"/>
      <c r="L271" s="690">
        <v>29691.12</v>
      </c>
      <c r="M271" s="690">
        <v>29691.12</v>
      </c>
      <c r="N271" s="695"/>
      <c r="O271" s="698">
        <f t="shared" si="14"/>
        <v>0</v>
      </c>
      <c r="P271" s="699">
        <f t="shared" si="16"/>
        <v>0</v>
      </c>
      <c r="Q271" s="1050"/>
    </row>
    <row r="272" spans="2:17" ht="45.75" customHeight="1" hidden="1" outlineLevel="4">
      <c r="B272" s="1850" t="s">
        <v>76</v>
      </c>
      <c r="C272" s="1850"/>
      <c r="D272" s="690">
        <v>14475</v>
      </c>
      <c r="E272" s="690">
        <v>14475</v>
      </c>
      <c r="F272" s="691"/>
      <c r="G272" s="691"/>
      <c r="H272" s="691"/>
      <c r="I272" s="691"/>
      <c r="J272" s="691"/>
      <c r="K272" s="691"/>
      <c r="L272" s="690">
        <v>14475</v>
      </c>
      <c r="M272" s="690">
        <v>14475</v>
      </c>
      <c r="N272" s="695"/>
      <c r="O272" s="698">
        <f t="shared" si="14"/>
        <v>0</v>
      </c>
      <c r="P272" s="699">
        <f t="shared" si="16"/>
        <v>0</v>
      </c>
      <c r="Q272" s="1050"/>
    </row>
    <row r="273" spans="2:17" ht="34.5" customHeight="1" hidden="1" outlineLevel="4">
      <c r="B273" s="1850" t="s">
        <v>77</v>
      </c>
      <c r="C273" s="1850"/>
      <c r="D273" s="690">
        <v>14650</v>
      </c>
      <c r="E273" s="690">
        <v>14650</v>
      </c>
      <c r="F273" s="691"/>
      <c r="G273" s="691"/>
      <c r="H273" s="691"/>
      <c r="I273" s="691"/>
      <c r="J273" s="691"/>
      <c r="K273" s="691"/>
      <c r="L273" s="690">
        <v>14650</v>
      </c>
      <c r="M273" s="690">
        <v>14650</v>
      </c>
      <c r="N273" s="695"/>
      <c r="O273" s="698">
        <f t="shared" si="14"/>
        <v>0</v>
      </c>
      <c r="P273" s="699">
        <f t="shared" si="16"/>
        <v>0</v>
      </c>
      <c r="Q273" s="1050"/>
    </row>
    <row r="274" spans="2:17" ht="34.5" customHeight="1" hidden="1" outlineLevel="4">
      <c r="B274" s="1850" t="s">
        <v>78</v>
      </c>
      <c r="C274" s="1850"/>
      <c r="D274" s="690">
        <v>14650</v>
      </c>
      <c r="E274" s="690">
        <v>14650</v>
      </c>
      <c r="F274" s="691"/>
      <c r="G274" s="691"/>
      <c r="H274" s="691"/>
      <c r="I274" s="691"/>
      <c r="J274" s="691"/>
      <c r="K274" s="691"/>
      <c r="L274" s="690">
        <v>14650</v>
      </c>
      <c r="M274" s="690">
        <v>14650</v>
      </c>
      <c r="N274" s="695"/>
      <c r="O274" s="698">
        <f t="shared" si="14"/>
        <v>0</v>
      </c>
      <c r="P274" s="699">
        <f t="shared" si="16"/>
        <v>0</v>
      </c>
      <c r="Q274" s="1050"/>
    </row>
    <row r="275" spans="2:17" ht="34.5" customHeight="1" hidden="1" outlineLevel="4">
      <c r="B275" s="1850" t="s">
        <v>79</v>
      </c>
      <c r="C275" s="1850"/>
      <c r="D275" s="690">
        <v>14650</v>
      </c>
      <c r="E275" s="690">
        <v>14650</v>
      </c>
      <c r="F275" s="691"/>
      <c r="G275" s="691"/>
      <c r="H275" s="691"/>
      <c r="I275" s="691"/>
      <c r="J275" s="691"/>
      <c r="K275" s="691"/>
      <c r="L275" s="690">
        <v>14650</v>
      </c>
      <c r="M275" s="690">
        <v>14650</v>
      </c>
      <c r="N275" s="695"/>
      <c r="O275" s="698">
        <f t="shared" si="14"/>
        <v>0</v>
      </c>
      <c r="P275" s="699">
        <f t="shared" si="16"/>
        <v>0</v>
      </c>
      <c r="Q275" s="1050"/>
    </row>
    <row r="276" spans="2:17" ht="45.75" customHeight="1" hidden="1" outlineLevel="4">
      <c r="B276" s="1850" t="s">
        <v>80</v>
      </c>
      <c r="C276" s="1850"/>
      <c r="D276" s="690">
        <v>11700</v>
      </c>
      <c r="E276" s="690">
        <v>11700</v>
      </c>
      <c r="F276" s="691"/>
      <c r="G276" s="691"/>
      <c r="H276" s="691"/>
      <c r="I276" s="691"/>
      <c r="J276" s="691"/>
      <c r="K276" s="691"/>
      <c r="L276" s="690">
        <v>11700</v>
      </c>
      <c r="M276" s="690">
        <v>11700</v>
      </c>
      <c r="N276" s="695"/>
      <c r="O276" s="698">
        <f t="shared" si="14"/>
        <v>0</v>
      </c>
      <c r="P276" s="699">
        <f t="shared" si="16"/>
        <v>0</v>
      </c>
      <c r="Q276" s="1050"/>
    </row>
    <row r="277" spans="2:17" ht="45.75" customHeight="1" hidden="1" outlineLevel="4">
      <c r="B277" s="1850" t="s">
        <v>81</v>
      </c>
      <c r="C277" s="1850"/>
      <c r="D277" s="690">
        <v>11700</v>
      </c>
      <c r="E277" s="690">
        <v>11700</v>
      </c>
      <c r="F277" s="691"/>
      <c r="G277" s="691"/>
      <c r="H277" s="691"/>
      <c r="I277" s="691"/>
      <c r="J277" s="691"/>
      <c r="K277" s="691"/>
      <c r="L277" s="690">
        <v>11700</v>
      </c>
      <c r="M277" s="690">
        <v>11700</v>
      </c>
      <c r="N277" s="695"/>
      <c r="O277" s="698">
        <f t="shared" si="14"/>
        <v>0</v>
      </c>
      <c r="P277" s="699">
        <f t="shared" si="16"/>
        <v>0</v>
      </c>
      <c r="Q277" s="1050"/>
    </row>
    <row r="278" spans="2:17" ht="57" customHeight="1" hidden="1" outlineLevel="4">
      <c r="B278" s="1850" t="s">
        <v>82</v>
      </c>
      <c r="C278" s="1850"/>
      <c r="D278" s="690">
        <v>26677.44</v>
      </c>
      <c r="E278" s="690">
        <v>13176.48</v>
      </c>
      <c r="F278" s="690">
        <v>13500.96</v>
      </c>
      <c r="G278" s="691"/>
      <c r="H278" s="692">
        <v>158.79</v>
      </c>
      <c r="I278" s="691"/>
      <c r="J278" s="691"/>
      <c r="K278" s="691"/>
      <c r="L278" s="690">
        <v>26677.44</v>
      </c>
      <c r="M278" s="690">
        <v>13335.27</v>
      </c>
      <c r="N278" s="693">
        <v>13342.17</v>
      </c>
      <c r="O278" s="698">
        <f t="shared" si="14"/>
        <v>1905.48</v>
      </c>
      <c r="P278" s="699">
        <f t="shared" si="16"/>
        <v>11595.48</v>
      </c>
      <c r="Q278" s="1050"/>
    </row>
    <row r="279" spans="2:17" ht="34.5" customHeight="1" hidden="1" outlineLevel="4">
      <c r="B279" s="1850" t="s">
        <v>873</v>
      </c>
      <c r="C279" s="1850"/>
      <c r="D279" s="690">
        <v>22850</v>
      </c>
      <c r="E279" s="690">
        <v>20404.52</v>
      </c>
      <c r="F279" s="690">
        <v>2445.48</v>
      </c>
      <c r="G279" s="691"/>
      <c r="H279" s="692">
        <v>153.36</v>
      </c>
      <c r="I279" s="691"/>
      <c r="J279" s="691"/>
      <c r="K279" s="691"/>
      <c r="L279" s="690">
        <v>22850</v>
      </c>
      <c r="M279" s="690">
        <v>20557.88</v>
      </c>
      <c r="N279" s="693">
        <v>2292.12</v>
      </c>
      <c r="O279" s="698">
        <f t="shared" si="14"/>
        <v>1840.3200000000002</v>
      </c>
      <c r="P279" s="699">
        <f t="shared" si="16"/>
        <v>605.1599999999999</v>
      </c>
      <c r="Q279" s="1050"/>
    </row>
    <row r="280" spans="2:17" ht="34.5" customHeight="1" hidden="1" outlineLevel="4">
      <c r="B280" s="1850" t="s">
        <v>874</v>
      </c>
      <c r="C280" s="1850"/>
      <c r="D280" s="690">
        <v>10300</v>
      </c>
      <c r="E280" s="690">
        <v>10300</v>
      </c>
      <c r="F280" s="691"/>
      <c r="G280" s="691"/>
      <c r="H280" s="691"/>
      <c r="I280" s="691"/>
      <c r="J280" s="691"/>
      <c r="K280" s="691"/>
      <c r="L280" s="690">
        <v>10300</v>
      </c>
      <c r="M280" s="690">
        <v>10300</v>
      </c>
      <c r="N280" s="695"/>
      <c r="O280" s="698">
        <f t="shared" si="14"/>
        <v>0</v>
      </c>
      <c r="P280" s="699">
        <f t="shared" si="16"/>
        <v>0</v>
      </c>
      <c r="Q280" s="1050"/>
    </row>
    <row r="281" spans="2:17" ht="34.5" customHeight="1" hidden="1" outlineLevel="4">
      <c r="B281" s="1850" t="s">
        <v>875</v>
      </c>
      <c r="C281" s="1850"/>
      <c r="D281" s="690">
        <v>10300</v>
      </c>
      <c r="E281" s="690">
        <v>10300</v>
      </c>
      <c r="F281" s="691"/>
      <c r="G281" s="691"/>
      <c r="H281" s="691"/>
      <c r="I281" s="691"/>
      <c r="J281" s="691"/>
      <c r="K281" s="691"/>
      <c r="L281" s="690">
        <v>10300</v>
      </c>
      <c r="M281" s="690">
        <v>10300</v>
      </c>
      <c r="N281" s="695"/>
      <c r="O281" s="698">
        <f t="shared" si="14"/>
        <v>0</v>
      </c>
      <c r="P281" s="699">
        <f t="shared" si="16"/>
        <v>0</v>
      </c>
      <c r="Q281" s="1050"/>
    </row>
    <row r="282" spans="2:17" ht="23.25" customHeight="1" hidden="1" outlineLevel="4">
      <c r="B282" s="1850" t="s">
        <v>876</v>
      </c>
      <c r="C282" s="1850"/>
      <c r="D282" s="690">
        <v>14475</v>
      </c>
      <c r="E282" s="690">
        <v>14475</v>
      </c>
      <c r="F282" s="691"/>
      <c r="G282" s="691"/>
      <c r="H282" s="691"/>
      <c r="I282" s="691"/>
      <c r="J282" s="691"/>
      <c r="K282" s="691"/>
      <c r="L282" s="690">
        <v>14475</v>
      </c>
      <c r="M282" s="690">
        <v>14475</v>
      </c>
      <c r="N282" s="695"/>
      <c r="O282" s="698">
        <f t="shared" si="14"/>
        <v>0</v>
      </c>
      <c r="P282" s="699">
        <f t="shared" si="16"/>
        <v>0</v>
      </c>
      <c r="Q282" s="1050"/>
    </row>
    <row r="283" spans="2:17" ht="34.5" customHeight="1" hidden="1" outlineLevel="4">
      <c r="B283" s="1850" t="s">
        <v>877</v>
      </c>
      <c r="C283" s="1850"/>
      <c r="D283" s="690">
        <v>13835</v>
      </c>
      <c r="E283" s="690">
        <v>13835</v>
      </c>
      <c r="F283" s="691"/>
      <c r="G283" s="691"/>
      <c r="H283" s="691"/>
      <c r="I283" s="691"/>
      <c r="J283" s="691"/>
      <c r="K283" s="691"/>
      <c r="L283" s="690">
        <v>13835</v>
      </c>
      <c r="M283" s="690">
        <v>13835</v>
      </c>
      <c r="N283" s="695"/>
      <c r="O283" s="698">
        <f t="shared" si="14"/>
        <v>0</v>
      </c>
      <c r="P283" s="699">
        <f t="shared" si="16"/>
        <v>0</v>
      </c>
      <c r="Q283" s="1050"/>
    </row>
    <row r="284" spans="2:17" ht="34.5" customHeight="1" hidden="1" outlineLevel="4">
      <c r="B284" s="1850" t="s">
        <v>878</v>
      </c>
      <c r="C284" s="1850"/>
      <c r="D284" s="690">
        <v>8000</v>
      </c>
      <c r="E284" s="690">
        <v>8000</v>
      </c>
      <c r="F284" s="691"/>
      <c r="G284" s="691"/>
      <c r="H284" s="691"/>
      <c r="I284" s="691"/>
      <c r="J284" s="691"/>
      <c r="K284" s="691"/>
      <c r="L284" s="690">
        <v>8000</v>
      </c>
      <c r="M284" s="690">
        <v>8000</v>
      </c>
      <c r="N284" s="695"/>
      <c r="O284" s="698">
        <f t="shared" si="14"/>
        <v>0</v>
      </c>
      <c r="P284" s="699">
        <f t="shared" si="16"/>
        <v>0</v>
      </c>
      <c r="Q284" s="1050"/>
    </row>
    <row r="285" spans="2:17" ht="34.5" customHeight="1" hidden="1" outlineLevel="4">
      <c r="B285" s="1850" t="s">
        <v>879</v>
      </c>
      <c r="C285" s="1850"/>
      <c r="D285" s="690">
        <v>7500</v>
      </c>
      <c r="E285" s="690">
        <v>7500</v>
      </c>
      <c r="F285" s="691"/>
      <c r="G285" s="691"/>
      <c r="H285" s="691"/>
      <c r="I285" s="691"/>
      <c r="J285" s="691"/>
      <c r="K285" s="691"/>
      <c r="L285" s="690">
        <v>7500</v>
      </c>
      <c r="M285" s="690">
        <v>7500</v>
      </c>
      <c r="N285" s="695"/>
      <c r="O285" s="698">
        <f t="shared" si="14"/>
        <v>0</v>
      </c>
      <c r="P285" s="699">
        <f t="shared" si="16"/>
        <v>0</v>
      </c>
      <c r="Q285" s="1050"/>
    </row>
    <row r="286" spans="2:17" ht="34.5" customHeight="1" hidden="1" outlineLevel="4">
      <c r="B286" s="1850" t="s">
        <v>880</v>
      </c>
      <c r="C286" s="1850"/>
      <c r="D286" s="690">
        <v>3813.56</v>
      </c>
      <c r="E286" s="690">
        <v>3813.56</v>
      </c>
      <c r="F286" s="691"/>
      <c r="G286" s="691"/>
      <c r="H286" s="691"/>
      <c r="I286" s="691"/>
      <c r="J286" s="691"/>
      <c r="K286" s="691"/>
      <c r="L286" s="690">
        <v>3813.56</v>
      </c>
      <c r="M286" s="690">
        <v>3813.56</v>
      </c>
      <c r="N286" s="695"/>
      <c r="O286" s="698">
        <f t="shared" si="14"/>
        <v>0</v>
      </c>
      <c r="P286" s="699">
        <f t="shared" si="16"/>
        <v>0</v>
      </c>
      <c r="Q286" s="1050"/>
    </row>
    <row r="287" spans="2:17" ht="57" customHeight="1" hidden="1" outlineLevel="4">
      <c r="B287" s="1850" t="s">
        <v>881</v>
      </c>
      <c r="C287" s="1850"/>
      <c r="D287" s="690">
        <v>35593.22</v>
      </c>
      <c r="E287" s="690">
        <v>34227.15</v>
      </c>
      <c r="F287" s="690">
        <v>1366.07</v>
      </c>
      <c r="G287" s="691"/>
      <c r="H287" s="692">
        <v>265.62</v>
      </c>
      <c r="I287" s="691"/>
      <c r="J287" s="691"/>
      <c r="K287" s="691"/>
      <c r="L287" s="690">
        <v>35593.22</v>
      </c>
      <c r="M287" s="690">
        <v>34492.77</v>
      </c>
      <c r="N287" s="693">
        <v>1100.45</v>
      </c>
      <c r="O287" s="698">
        <f t="shared" si="14"/>
        <v>3187.44</v>
      </c>
      <c r="P287" s="699">
        <f t="shared" si="16"/>
        <v>-1821.3700000000001</v>
      </c>
      <c r="Q287" s="1050"/>
    </row>
    <row r="288" spans="2:17" ht="34.5" customHeight="1" hidden="1" outlineLevel="4">
      <c r="B288" s="1850" t="s">
        <v>882</v>
      </c>
      <c r="C288" s="1850"/>
      <c r="D288" s="690">
        <v>10258.24</v>
      </c>
      <c r="E288" s="690">
        <v>10258.24</v>
      </c>
      <c r="F288" s="691"/>
      <c r="G288" s="691"/>
      <c r="H288" s="691"/>
      <c r="I288" s="691"/>
      <c r="J288" s="691"/>
      <c r="K288" s="691"/>
      <c r="L288" s="690">
        <v>10258.24</v>
      </c>
      <c r="M288" s="690">
        <v>10258.24</v>
      </c>
      <c r="N288" s="695"/>
      <c r="O288" s="698">
        <f t="shared" si="14"/>
        <v>0</v>
      </c>
      <c r="P288" s="699">
        <f t="shared" si="16"/>
        <v>0</v>
      </c>
      <c r="Q288" s="1050"/>
    </row>
    <row r="289" spans="2:17" ht="45.75" customHeight="1" hidden="1" outlineLevel="4">
      <c r="B289" s="1850" t="s">
        <v>883</v>
      </c>
      <c r="C289" s="1850"/>
      <c r="D289" s="690">
        <v>20833.33</v>
      </c>
      <c r="E289" s="690">
        <v>20833.33</v>
      </c>
      <c r="F289" s="691"/>
      <c r="G289" s="691"/>
      <c r="H289" s="691"/>
      <c r="I289" s="691"/>
      <c r="J289" s="691"/>
      <c r="K289" s="691"/>
      <c r="L289" s="690">
        <v>20833.33</v>
      </c>
      <c r="M289" s="690">
        <v>20833.33</v>
      </c>
      <c r="N289" s="695"/>
      <c r="O289" s="698">
        <f aca="true" t="shared" si="17" ref="O289:O352">H289*12</f>
        <v>0</v>
      </c>
      <c r="P289" s="699">
        <f t="shared" si="16"/>
        <v>0</v>
      </c>
      <c r="Q289" s="1050"/>
    </row>
    <row r="290" spans="2:17" ht="34.5" customHeight="1" hidden="1" outlineLevel="4">
      <c r="B290" s="1850" t="s">
        <v>884</v>
      </c>
      <c r="C290" s="1850"/>
      <c r="D290" s="690">
        <v>32500</v>
      </c>
      <c r="E290" s="690">
        <v>32500</v>
      </c>
      <c r="F290" s="691"/>
      <c r="G290" s="691"/>
      <c r="H290" s="691"/>
      <c r="I290" s="691"/>
      <c r="J290" s="691"/>
      <c r="K290" s="691"/>
      <c r="L290" s="690">
        <v>32500</v>
      </c>
      <c r="M290" s="690">
        <v>32500</v>
      </c>
      <c r="N290" s="695"/>
      <c r="O290" s="698">
        <f t="shared" si="17"/>
        <v>0</v>
      </c>
      <c r="P290" s="699">
        <f t="shared" si="16"/>
        <v>0</v>
      </c>
      <c r="Q290" s="1050"/>
    </row>
    <row r="291" spans="2:17" ht="45.75" customHeight="1" hidden="1" outlineLevel="4">
      <c r="B291" s="1850" t="s">
        <v>885</v>
      </c>
      <c r="C291" s="1850"/>
      <c r="D291" s="690">
        <v>63692.81</v>
      </c>
      <c r="E291" s="690">
        <v>44738.97</v>
      </c>
      <c r="F291" s="690">
        <v>18953.84</v>
      </c>
      <c r="G291" s="691"/>
      <c r="H291" s="692">
        <v>138.46</v>
      </c>
      <c r="I291" s="691"/>
      <c r="J291" s="691"/>
      <c r="K291" s="691"/>
      <c r="L291" s="690">
        <v>63692.81</v>
      </c>
      <c r="M291" s="690">
        <v>44877.43</v>
      </c>
      <c r="N291" s="693">
        <v>18815.38</v>
      </c>
      <c r="O291" s="698">
        <f t="shared" si="17"/>
        <v>1661.52</v>
      </c>
      <c r="P291" s="699">
        <f t="shared" si="16"/>
        <v>17292.32</v>
      </c>
      <c r="Q291" s="1050"/>
    </row>
    <row r="292" spans="2:17" ht="34.5" customHeight="1" hidden="1" outlineLevel="4">
      <c r="B292" s="1850" t="s">
        <v>886</v>
      </c>
      <c r="C292" s="1850"/>
      <c r="D292" s="690">
        <v>23700</v>
      </c>
      <c r="E292" s="690">
        <v>14953.42</v>
      </c>
      <c r="F292" s="690">
        <v>8746.58</v>
      </c>
      <c r="G292" s="691"/>
      <c r="H292" s="692">
        <v>282.14</v>
      </c>
      <c r="I292" s="691"/>
      <c r="J292" s="691"/>
      <c r="K292" s="691"/>
      <c r="L292" s="690">
        <v>23700</v>
      </c>
      <c r="M292" s="690">
        <v>15235.56</v>
      </c>
      <c r="N292" s="693">
        <v>8464.44</v>
      </c>
      <c r="O292" s="698">
        <f t="shared" si="17"/>
        <v>3385.68</v>
      </c>
      <c r="P292" s="699">
        <f t="shared" si="16"/>
        <v>5360.9</v>
      </c>
      <c r="Q292" s="1050"/>
    </row>
    <row r="293" spans="2:17" ht="34.5" customHeight="1" hidden="1" outlineLevel="4">
      <c r="B293" s="1850" t="s">
        <v>887</v>
      </c>
      <c r="C293" s="1850"/>
      <c r="D293" s="690">
        <v>29000</v>
      </c>
      <c r="E293" s="690">
        <v>14499.84</v>
      </c>
      <c r="F293" s="690">
        <v>14500.16</v>
      </c>
      <c r="G293" s="691"/>
      <c r="H293" s="692">
        <v>302.08</v>
      </c>
      <c r="I293" s="691"/>
      <c r="J293" s="691"/>
      <c r="K293" s="691"/>
      <c r="L293" s="690">
        <v>29000</v>
      </c>
      <c r="M293" s="690">
        <v>14801.92</v>
      </c>
      <c r="N293" s="693">
        <v>14198.08</v>
      </c>
      <c r="O293" s="698">
        <f t="shared" si="17"/>
        <v>3624.96</v>
      </c>
      <c r="P293" s="699">
        <f t="shared" si="16"/>
        <v>10875.2</v>
      </c>
      <c r="Q293" s="1050"/>
    </row>
    <row r="294" spans="2:17" ht="36" customHeight="1" collapsed="1">
      <c r="B294" s="1880" t="s">
        <v>844</v>
      </c>
      <c r="C294" s="1880"/>
      <c r="D294" s="689">
        <f>SUM(D298:D345)</f>
        <v>14642274.010000005</v>
      </c>
      <c r="E294" s="689">
        <f aca="true" t="shared" si="18" ref="E294:O294">SUM(E298:E345)</f>
        <v>4805164.35</v>
      </c>
      <c r="F294" s="689">
        <f t="shared" si="18"/>
        <v>9837109.659999998</v>
      </c>
      <c r="G294" s="689">
        <f t="shared" si="18"/>
        <v>0</v>
      </c>
      <c r="H294" s="689">
        <f t="shared" si="18"/>
        <v>27156.79</v>
      </c>
      <c r="I294" s="689">
        <f t="shared" si="18"/>
        <v>0</v>
      </c>
      <c r="J294" s="689">
        <f t="shared" si="18"/>
        <v>0</v>
      </c>
      <c r="K294" s="689">
        <f t="shared" si="18"/>
        <v>0</v>
      </c>
      <c r="L294" s="689">
        <f t="shared" si="18"/>
        <v>14642274.010000005</v>
      </c>
      <c r="M294" s="689">
        <f t="shared" si="18"/>
        <v>4832321.139999999</v>
      </c>
      <c r="N294" s="689">
        <f t="shared" si="18"/>
        <v>9809952.87</v>
      </c>
      <c r="O294" s="689">
        <f t="shared" si="18"/>
        <v>325881.48000000004</v>
      </c>
      <c r="P294" s="701">
        <f t="shared" si="16"/>
        <v>9511228.179999998</v>
      </c>
      <c r="Q294" s="1050">
        <v>1</v>
      </c>
    </row>
    <row r="295" spans="2:17" ht="12" customHeight="1" hidden="1" outlineLevel="1">
      <c r="B295" s="1877" t="s">
        <v>546</v>
      </c>
      <c r="C295" s="1877"/>
      <c r="D295" s="690">
        <v>14642274.01</v>
      </c>
      <c r="E295" s="690">
        <v>4805164.35</v>
      </c>
      <c r="F295" s="690">
        <v>9837109.66</v>
      </c>
      <c r="G295" s="691"/>
      <c r="H295" s="690">
        <v>27156.79</v>
      </c>
      <c r="I295" s="691"/>
      <c r="J295" s="691"/>
      <c r="K295" s="691"/>
      <c r="L295" s="690">
        <v>14642274.01</v>
      </c>
      <c r="M295" s="690">
        <v>4832321.14</v>
      </c>
      <c r="N295" s="693">
        <v>9809952.87</v>
      </c>
      <c r="O295" s="698">
        <f t="shared" si="17"/>
        <v>325881.48</v>
      </c>
      <c r="P295" s="699">
        <f t="shared" si="16"/>
        <v>9511228.18</v>
      </c>
      <c r="Q295" s="1050"/>
    </row>
    <row r="296" spans="2:17" ht="12" customHeight="1" hidden="1" outlineLevel="2">
      <c r="B296" s="1878" t="s">
        <v>547</v>
      </c>
      <c r="C296" s="1878"/>
      <c r="D296" s="690">
        <v>14642274.01</v>
      </c>
      <c r="E296" s="690">
        <v>4805164.35</v>
      </c>
      <c r="F296" s="690">
        <v>9837109.66</v>
      </c>
      <c r="G296" s="691"/>
      <c r="H296" s="690">
        <v>27156.79</v>
      </c>
      <c r="I296" s="691"/>
      <c r="J296" s="691"/>
      <c r="K296" s="691"/>
      <c r="L296" s="690">
        <v>14642274.01</v>
      </c>
      <c r="M296" s="690">
        <v>4832321.14</v>
      </c>
      <c r="N296" s="693">
        <v>9809952.87</v>
      </c>
      <c r="O296" s="698">
        <f t="shared" si="17"/>
        <v>325881.48</v>
      </c>
      <c r="P296" s="699">
        <f t="shared" si="16"/>
        <v>9511228.18</v>
      </c>
      <c r="Q296" s="1050"/>
    </row>
    <row r="297" spans="2:17" ht="34.5" customHeight="1" hidden="1" outlineLevel="3">
      <c r="B297" s="1879" t="s">
        <v>20</v>
      </c>
      <c r="C297" s="1879"/>
      <c r="D297" s="690">
        <v>14642274.01</v>
      </c>
      <c r="E297" s="690">
        <v>4805164.35</v>
      </c>
      <c r="F297" s="690">
        <v>9837109.66</v>
      </c>
      <c r="G297" s="691"/>
      <c r="H297" s="690">
        <v>27156.79</v>
      </c>
      <c r="I297" s="691"/>
      <c r="J297" s="691"/>
      <c r="K297" s="691"/>
      <c r="L297" s="690">
        <v>14642274.01</v>
      </c>
      <c r="M297" s="690">
        <v>4832321.14</v>
      </c>
      <c r="N297" s="693">
        <v>9809952.87</v>
      </c>
      <c r="O297" s="698">
        <f t="shared" si="17"/>
        <v>325881.48</v>
      </c>
      <c r="P297" s="699">
        <f t="shared" si="16"/>
        <v>9511228.18</v>
      </c>
      <c r="Q297" s="1050"/>
    </row>
    <row r="298" spans="2:17" ht="57" customHeight="1" hidden="1" outlineLevel="4">
      <c r="B298" s="1850" t="s">
        <v>888</v>
      </c>
      <c r="C298" s="1850"/>
      <c r="D298" s="690">
        <v>44788</v>
      </c>
      <c r="E298" s="690">
        <v>5147.1</v>
      </c>
      <c r="F298" s="690">
        <v>39640.9</v>
      </c>
      <c r="G298" s="691"/>
      <c r="H298" s="692">
        <v>90.3</v>
      </c>
      <c r="I298" s="691"/>
      <c r="J298" s="691"/>
      <c r="K298" s="691"/>
      <c r="L298" s="690">
        <v>44788</v>
      </c>
      <c r="M298" s="690">
        <v>5237.4</v>
      </c>
      <c r="N298" s="693">
        <v>39550.6</v>
      </c>
      <c r="O298" s="698">
        <f t="shared" si="17"/>
        <v>1083.6</v>
      </c>
      <c r="P298" s="699">
        <f t="shared" si="16"/>
        <v>38557.3</v>
      </c>
      <c r="Q298" s="1050"/>
    </row>
    <row r="299" spans="2:17" ht="23.25" customHeight="1" hidden="1" outlineLevel="4">
      <c r="B299" s="1850" t="s">
        <v>889</v>
      </c>
      <c r="C299" s="1850"/>
      <c r="D299" s="690">
        <v>76424</v>
      </c>
      <c r="E299" s="690">
        <v>44177.44</v>
      </c>
      <c r="F299" s="690">
        <v>32246.56</v>
      </c>
      <c r="G299" s="691"/>
      <c r="H299" s="692">
        <v>95.05</v>
      </c>
      <c r="I299" s="691"/>
      <c r="J299" s="691"/>
      <c r="K299" s="691"/>
      <c r="L299" s="690">
        <v>76424</v>
      </c>
      <c r="M299" s="690">
        <v>44272.49</v>
      </c>
      <c r="N299" s="693">
        <v>32151.51</v>
      </c>
      <c r="O299" s="698">
        <f t="shared" si="17"/>
        <v>1140.6</v>
      </c>
      <c r="P299" s="699">
        <f t="shared" si="16"/>
        <v>31105.960000000003</v>
      </c>
      <c r="Q299" s="1050"/>
    </row>
    <row r="300" spans="2:17" ht="45.75" customHeight="1" hidden="1" outlineLevel="4">
      <c r="B300" s="1850" t="s">
        <v>890</v>
      </c>
      <c r="C300" s="1850"/>
      <c r="D300" s="690">
        <v>12244.24</v>
      </c>
      <c r="E300" s="690">
        <v>12244.24</v>
      </c>
      <c r="F300" s="691"/>
      <c r="G300" s="691"/>
      <c r="H300" s="691"/>
      <c r="I300" s="691"/>
      <c r="J300" s="691"/>
      <c r="K300" s="691"/>
      <c r="L300" s="690">
        <v>12244.24</v>
      </c>
      <c r="M300" s="690">
        <v>12244.24</v>
      </c>
      <c r="N300" s="695"/>
      <c r="O300" s="698">
        <f t="shared" si="17"/>
        <v>0</v>
      </c>
      <c r="P300" s="699">
        <f t="shared" si="16"/>
        <v>0</v>
      </c>
      <c r="Q300" s="1050"/>
    </row>
    <row r="301" spans="2:17" ht="68.25" customHeight="1" hidden="1" outlineLevel="4">
      <c r="B301" s="1850" t="s">
        <v>891</v>
      </c>
      <c r="C301" s="1850"/>
      <c r="D301" s="690">
        <v>9586.16</v>
      </c>
      <c r="E301" s="690">
        <v>1516.53</v>
      </c>
      <c r="F301" s="690">
        <v>8069.63</v>
      </c>
      <c r="G301" s="691"/>
      <c r="H301" s="692">
        <v>4.09</v>
      </c>
      <c r="I301" s="691"/>
      <c r="J301" s="691"/>
      <c r="K301" s="691"/>
      <c r="L301" s="690">
        <v>9586.16</v>
      </c>
      <c r="M301" s="690">
        <v>1520.62</v>
      </c>
      <c r="N301" s="693">
        <v>8065.54</v>
      </c>
      <c r="O301" s="698">
        <f t="shared" si="17"/>
        <v>49.08</v>
      </c>
      <c r="P301" s="699">
        <f t="shared" si="16"/>
        <v>8020.55</v>
      </c>
      <c r="Q301" s="1050"/>
    </row>
    <row r="302" spans="2:17" ht="45.75" customHeight="1" hidden="1" outlineLevel="4">
      <c r="B302" s="1850" t="s">
        <v>892</v>
      </c>
      <c r="C302" s="1850"/>
      <c r="D302" s="690">
        <v>31428.96</v>
      </c>
      <c r="E302" s="690">
        <v>23870.9</v>
      </c>
      <c r="F302" s="690">
        <v>7558.06</v>
      </c>
      <c r="G302" s="691"/>
      <c r="H302" s="692">
        <v>41.52</v>
      </c>
      <c r="I302" s="691"/>
      <c r="J302" s="691"/>
      <c r="K302" s="691"/>
      <c r="L302" s="690">
        <v>31428.96</v>
      </c>
      <c r="M302" s="690">
        <v>23912.42</v>
      </c>
      <c r="N302" s="693">
        <v>7516.54</v>
      </c>
      <c r="O302" s="698">
        <f t="shared" si="17"/>
        <v>498.24</v>
      </c>
      <c r="P302" s="699">
        <f t="shared" si="16"/>
        <v>7059.820000000001</v>
      </c>
      <c r="Q302" s="1050"/>
    </row>
    <row r="303" spans="2:17" ht="68.25" customHeight="1" hidden="1" outlineLevel="4">
      <c r="B303" s="1850" t="s">
        <v>893</v>
      </c>
      <c r="C303" s="1850"/>
      <c r="D303" s="690">
        <v>31707.76</v>
      </c>
      <c r="E303" s="690">
        <v>30588.89</v>
      </c>
      <c r="F303" s="690">
        <v>1118.87</v>
      </c>
      <c r="G303" s="691"/>
      <c r="H303" s="692">
        <v>42.56</v>
      </c>
      <c r="I303" s="691"/>
      <c r="J303" s="691"/>
      <c r="K303" s="691"/>
      <c r="L303" s="690">
        <v>31707.76</v>
      </c>
      <c r="M303" s="690">
        <v>30631.45</v>
      </c>
      <c r="N303" s="693">
        <v>1076.31</v>
      </c>
      <c r="O303" s="698">
        <f t="shared" si="17"/>
        <v>510.72</v>
      </c>
      <c r="P303" s="699">
        <f t="shared" si="16"/>
        <v>608.1499999999999</v>
      </c>
      <c r="Q303" s="1050"/>
    </row>
    <row r="304" spans="2:17" ht="79.5" customHeight="1" hidden="1" outlineLevel="4">
      <c r="B304" s="1850" t="s">
        <v>894</v>
      </c>
      <c r="C304" s="1850"/>
      <c r="D304" s="690">
        <v>664397.64</v>
      </c>
      <c r="E304" s="690">
        <v>592016.1</v>
      </c>
      <c r="F304" s="690">
        <v>72381.54</v>
      </c>
      <c r="G304" s="691"/>
      <c r="H304" s="692">
        <v>823.29</v>
      </c>
      <c r="I304" s="691"/>
      <c r="J304" s="691"/>
      <c r="K304" s="691"/>
      <c r="L304" s="690">
        <v>664397.64</v>
      </c>
      <c r="M304" s="690">
        <v>592839.39</v>
      </c>
      <c r="N304" s="693">
        <v>71558.25</v>
      </c>
      <c r="O304" s="698">
        <f t="shared" si="17"/>
        <v>9879.48</v>
      </c>
      <c r="P304" s="699">
        <f t="shared" si="16"/>
        <v>62502.06</v>
      </c>
      <c r="Q304" s="1050"/>
    </row>
    <row r="305" spans="2:17" ht="68.25" customHeight="1" hidden="1" outlineLevel="4">
      <c r="B305" s="1850" t="s">
        <v>551</v>
      </c>
      <c r="C305" s="1850"/>
      <c r="D305" s="690">
        <v>26896</v>
      </c>
      <c r="E305" s="690">
        <v>12560.66</v>
      </c>
      <c r="F305" s="690">
        <v>14335.34</v>
      </c>
      <c r="G305" s="691"/>
      <c r="H305" s="692">
        <v>33.87</v>
      </c>
      <c r="I305" s="691"/>
      <c r="J305" s="691"/>
      <c r="K305" s="691"/>
      <c r="L305" s="690">
        <v>26896</v>
      </c>
      <c r="M305" s="690">
        <v>12594.53</v>
      </c>
      <c r="N305" s="693">
        <v>14301.47</v>
      </c>
      <c r="O305" s="698">
        <f t="shared" si="17"/>
        <v>406.43999999999994</v>
      </c>
      <c r="P305" s="699">
        <f t="shared" si="16"/>
        <v>13928.9</v>
      </c>
      <c r="Q305" s="1050"/>
    </row>
    <row r="306" spans="2:17" ht="68.25" customHeight="1" hidden="1" outlineLevel="4">
      <c r="B306" s="1850" t="s">
        <v>552</v>
      </c>
      <c r="C306" s="1850"/>
      <c r="D306" s="690">
        <v>589235.6</v>
      </c>
      <c r="E306" s="690">
        <v>215097.15</v>
      </c>
      <c r="F306" s="690">
        <v>374138.45</v>
      </c>
      <c r="G306" s="691"/>
      <c r="H306" s="692">
        <v>746.81</v>
      </c>
      <c r="I306" s="691"/>
      <c r="J306" s="691"/>
      <c r="K306" s="691"/>
      <c r="L306" s="690">
        <v>589235.6</v>
      </c>
      <c r="M306" s="690">
        <v>215843.96</v>
      </c>
      <c r="N306" s="693">
        <v>373391.64</v>
      </c>
      <c r="O306" s="698">
        <f t="shared" si="17"/>
        <v>8961.72</v>
      </c>
      <c r="P306" s="699">
        <f t="shared" si="16"/>
        <v>365176.73000000004</v>
      </c>
      <c r="Q306" s="1050"/>
    </row>
    <row r="307" spans="2:17" ht="57" customHeight="1" hidden="1" outlineLevel="4">
      <c r="B307" s="1850" t="s">
        <v>553</v>
      </c>
      <c r="C307" s="1850"/>
      <c r="D307" s="690">
        <v>42748.24</v>
      </c>
      <c r="E307" s="690">
        <v>24396.01</v>
      </c>
      <c r="F307" s="690">
        <v>18352.23</v>
      </c>
      <c r="G307" s="691"/>
      <c r="H307" s="692">
        <v>55.09</v>
      </c>
      <c r="I307" s="691"/>
      <c r="J307" s="691"/>
      <c r="K307" s="691"/>
      <c r="L307" s="690">
        <v>42748.24</v>
      </c>
      <c r="M307" s="690">
        <v>24451.1</v>
      </c>
      <c r="N307" s="693">
        <v>18297.14</v>
      </c>
      <c r="O307" s="698">
        <f t="shared" si="17"/>
        <v>661.08</v>
      </c>
      <c r="P307" s="699">
        <f t="shared" si="16"/>
        <v>17691.149999999998</v>
      </c>
      <c r="Q307" s="1050"/>
    </row>
    <row r="308" spans="2:17" ht="68.25" customHeight="1" hidden="1" outlineLevel="4">
      <c r="B308" s="1850" t="s">
        <v>554</v>
      </c>
      <c r="C308" s="1850"/>
      <c r="D308" s="690">
        <v>149400.72</v>
      </c>
      <c r="E308" s="690">
        <v>144129.48</v>
      </c>
      <c r="F308" s="690">
        <v>5271.24</v>
      </c>
      <c r="G308" s="691"/>
      <c r="H308" s="692">
        <v>200.54</v>
      </c>
      <c r="I308" s="691"/>
      <c r="J308" s="691"/>
      <c r="K308" s="691"/>
      <c r="L308" s="690">
        <v>149400.72</v>
      </c>
      <c r="M308" s="690">
        <v>144330.02</v>
      </c>
      <c r="N308" s="693">
        <v>5070.7</v>
      </c>
      <c r="O308" s="698">
        <f t="shared" si="17"/>
        <v>2406.48</v>
      </c>
      <c r="P308" s="699">
        <f t="shared" si="16"/>
        <v>2864.7599999999998</v>
      </c>
      <c r="Q308" s="1050"/>
    </row>
    <row r="309" spans="2:17" ht="68.25" customHeight="1" hidden="1" outlineLevel="4">
      <c r="B309" s="1850" t="s">
        <v>555</v>
      </c>
      <c r="C309" s="1850"/>
      <c r="D309" s="690">
        <v>2709621.64</v>
      </c>
      <c r="E309" s="690">
        <v>515709.49</v>
      </c>
      <c r="F309" s="690">
        <v>2193912.15</v>
      </c>
      <c r="G309" s="691"/>
      <c r="H309" s="690">
        <v>7948.96</v>
      </c>
      <c r="I309" s="691"/>
      <c r="J309" s="691"/>
      <c r="K309" s="691"/>
      <c r="L309" s="690">
        <v>2709621.64</v>
      </c>
      <c r="M309" s="690">
        <v>523658.45</v>
      </c>
      <c r="N309" s="693">
        <v>2185963.19</v>
      </c>
      <c r="O309" s="698">
        <f t="shared" si="17"/>
        <v>95387.52</v>
      </c>
      <c r="P309" s="699">
        <f t="shared" si="16"/>
        <v>2098524.63</v>
      </c>
      <c r="Q309" s="1050"/>
    </row>
    <row r="310" spans="2:17" ht="68.25" customHeight="1" hidden="1" outlineLevel="4">
      <c r="B310" s="1850" t="s">
        <v>556</v>
      </c>
      <c r="C310" s="1850"/>
      <c r="D310" s="690">
        <v>14884.64</v>
      </c>
      <c r="E310" s="690">
        <v>5743.62</v>
      </c>
      <c r="F310" s="690">
        <v>9141.02</v>
      </c>
      <c r="G310" s="691"/>
      <c r="H310" s="692">
        <v>19.01</v>
      </c>
      <c r="I310" s="691"/>
      <c r="J310" s="691"/>
      <c r="K310" s="691"/>
      <c r="L310" s="690">
        <v>14884.64</v>
      </c>
      <c r="M310" s="690">
        <v>5762.63</v>
      </c>
      <c r="N310" s="693">
        <v>9122.01</v>
      </c>
      <c r="O310" s="698">
        <f t="shared" si="17"/>
        <v>228.12</v>
      </c>
      <c r="P310" s="699">
        <f t="shared" si="16"/>
        <v>8912.9</v>
      </c>
      <c r="Q310" s="1050"/>
    </row>
    <row r="311" spans="2:17" ht="45.75" customHeight="1" hidden="1" outlineLevel="4">
      <c r="B311" s="1850" t="s">
        <v>557</v>
      </c>
      <c r="C311" s="1850"/>
      <c r="D311" s="690">
        <v>5779.36</v>
      </c>
      <c r="E311" s="690">
        <v>5779.36</v>
      </c>
      <c r="F311" s="691"/>
      <c r="G311" s="691"/>
      <c r="H311" s="691"/>
      <c r="I311" s="691"/>
      <c r="J311" s="691"/>
      <c r="K311" s="691"/>
      <c r="L311" s="690">
        <v>5779.36</v>
      </c>
      <c r="M311" s="690">
        <v>5779.36</v>
      </c>
      <c r="N311" s="695"/>
      <c r="O311" s="698">
        <f t="shared" si="17"/>
        <v>0</v>
      </c>
      <c r="P311" s="699">
        <f t="shared" si="16"/>
        <v>0</v>
      </c>
      <c r="Q311" s="1050"/>
    </row>
    <row r="312" spans="2:17" ht="68.25" customHeight="1" hidden="1" outlineLevel="4">
      <c r="B312" s="1850" t="s">
        <v>558</v>
      </c>
      <c r="C312" s="1850"/>
      <c r="D312" s="690">
        <v>3247.2</v>
      </c>
      <c r="E312" s="690">
        <v>3247.2</v>
      </c>
      <c r="F312" s="691"/>
      <c r="G312" s="691"/>
      <c r="H312" s="691"/>
      <c r="I312" s="691"/>
      <c r="J312" s="691"/>
      <c r="K312" s="691"/>
      <c r="L312" s="690">
        <v>3247.2</v>
      </c>
      <c r="M312" s="690">
        <v>3247.2</v>
      </c>
      <c r="N312" s="695"/>
      <c r="O312" s="698">
        <f t="shared" si="17"/>
        <v>0</v>
      </c>
      <c r="P312" s="699">
        <f t="shared" si="16"/>
        <v>0</v>
      </c>
      <c r="Q312" s="1050"/>
    </row>
    <row r="313" spans="2:17" ht="57" customHeight="1" hidden="1" outlineLevel="4">
      <c r="B313" s="1850" t="s">
        <v>559</v>
      </c>
      <c r="C313" s="1850"/>
      <c r="D313" s="690">
        <v>2670.96</v>
      </c>
      <c r="E313" s="690">
        <v>2670.96</v>
      </c>
      <c r="F313" s="691"/>
      <c r="G313" s="691"/>
      <c r="H313" s="691"/>
      <c r="I313" s="691"/>
      <c r="J313" s="691"/>
      <c r="K313" s="691"/>
      <c r="L313" s="690">
        <v>2670.96</v>
      </c>
      <c r="M313" s="690">
        <v>2670.96</v>
      </c>
      <c r="N313" s="695"/>
      <c r="O313" s="698">
        <f t="shared" si="17"/>
        <v>0</v>
      </c>
      <c r="P313" s="699">
        <f t="shared" si="16"/>
        <v>0</v>
      </c>
      <c r="Q313" s="1050"/>
    </row>
    <row r="314" spans="2:17" ht="57" customHeight="1" hidden="1" outlineLevel="4">
      <c r="B314" s="1850" t="s">
        <v>560</v>
      </c>
      <c r="C314" s="1850"/>
      <c r="D314" s="690">
        <v>4118</v>
      </c>
      <c r="E314" s="690">
        <v>4118</v>
      </c>
      <c r="F314" s="691"/>
      <c r="G314" s="691"/>
      <c r="H314" s="691"/>
      <c r="I314" s="691"/>
      <c r="J314" s="691"/>
      <c r="K314" s="691"/>
      <c r="L314" s="690">
        <v>4118</v>
      </c>
      <c r="M314" s="690">
        <v>4118</v>
      </c>
      <c r="N314" s="695"/>
      <c r="O314" s="698">
        <f t="shared" si="17"/>
        <v>0</v>
      </c>
      <c r="P314" s="699">
        <f t="shared" si="16"/>
        <v>0</v>
      </c>
      <c r="Q314" s="1050"/>
    </row>
    <row r="315" spans="2:17" ht="57" customHeight="1" hidden="1" outlineLevel="4">
      <c r="B315" s="1850" t="s">
        <v>561</v>
      </c>
      <c r="C315" s="1850"/>
      <c r="D315" s="690">
        <v>2525.6</v>
      </c>
      <c r="E315" s="690">
        <v>2525.6</v>
      </c>
      <c r="F315" s="691"/>
      <c r="G315" s="691"/>
      <c r="H315" s="691"/>
      <c r="I315" s="691"/>
      <c r="J315" s="691"/>
      <c r="K315" s="691"/>
      <c r="L315" s="690">
        <v>2525.6</v>
      </c>
      <c r="M315" s="690">
        <v>2525.6</v>
      </c>
      <c r="N315" s="695"/>
      <c r="O315" s="698">
        <f t="shared" si="17"/>
        <v>0</v>
      </c>
      <c r="P315" s="699">
        <f t="shared" si="16"/>
        <v>0</v>
      </c>
      <c r="Q315" s="1050"/>
    </row>
    <row r="316" spans="2:17" ht="68.25" customHeight="1" hidden="1" outlineLevel="4">
      <c r="B316" s="1850" t="s">
        <v>239</v>
      </c>
      <c r="C316" s="1850"/>
      <c r="D316" s="690">
        <v>4840</v>
      </c>
      <c r="E316" s="690">
        <v>4840</v>
      </c>
      <c r="F316" s="691"/>
      <c r="G316" s="691"/>
      <c r="H316" s="691"/>
      <c r="I316" s="691"/>
      <c r="J316" s="691"/>
      <c r="K316" s="691"/>
      <c r="L316" s="690">
        <v>4840</v>
      </c>
      <c r="M316" s="690">
        <v>4840</v>
      </c>
      <c r="N316" s="695"/>
      <c r="O316" s="698">
        <f t="shared" si="17"/>
        <v>0</v>
      </c>
      <c r="P316" s="699">
        <f t="shared" si="16"/>
        <v>0</v>
      </c>
      <c r="Q316" s="1050"/>
    </row>
    <row r="317" spans="2:17" ht="79.5" customHeight="1" hidden="1" outlineLevel="4">
      <c r="B317" s="1850" t="s">
        <v>240</v>
      </c>
      <c r="C317" s="1850"/>
      <c r="D317" s="690">
        <v>34550.4</v>
      </c>
      <c r="E317" s="690">
        <v>4014.48</v>
      </c>
      <c r="F317" s="690">
        <v>30535.92</v>
      </c>
      <c r="G317" s="691"/>
      <c r="H317" s="692">
        <v>46.69</v>
      </c>
      <c r="I317" s="691"/>
      <c r="J317" s="691"/>
      <c r="K317" s="691"/>
      <c r="L317" s="690">
        <v>34550.4</v>
      </c>
      <c r="M317" s="690">
        <v>4061.17</v>
      </c>
      <c r="N317" s="693">
        <v>30489.23</v>
      </c>
      <c r="O317" s="698">
        <f t="shared" si="17"/>
        <v>560.28</v>
      </c>
      <c r="P317" s="699">
        <f t="shared" si="16"/>
        <v>29975.64</v>
      </c>
      <c r="Q317" s="1050"/>
    </row>
    <row r="318" spans="2:17" ht="68.25" customHeight="1" hidden="1" outlineLevel="4">
      <c r="B318" s="1850" t="s">
        <v>241</v>
      </c>
      <c r="C318" s="1850"/>
      <c r="D318" s="690">
        <v>30164.34</v>
      </c>
      <c r="E318" s="690">
        <v>3601.29</v>
      </c>
      <c r="F318" s="690">
        <v>26563.05</v>
      </c>
      <c r="G318" s="691"/>
      <c r="H318" s="692">
        <v>62.97</v>
      </c>
      <c r="I318" s="691"/>
      <c r="J318" s="691"/>
      <c r="K318" s="691"/>
      <c r="L318" s="690">
        <v>30164.34</v>
      </c>
      <c r="M318" s="690">
        <v>3664.26</v>
      </c>
      <c r="N318" s="693">
        <v>26500.08</v>
      </c>
      <c r="O318" s="698">
        <f t="shared" si="17"/>
        <v>755.64</v>
      </c>
      <c r="P318" s="699">
        <f t="shared" si="16"/>
        <v>25807.41</v>
      </c>
      <c r="Q318" s="1050"/>
    </row>
    <row r="319" spans="2:17" ht="57" customHeight="1" hidden="1" outlineLevel="4">
      <c r="B319" s="1850" t="s">
        <v>242</v>
      </c>
      <c r="C319" s="1850"/>
      <c r="D319" s="690">
        <v>123333.33</v>
      </c>
      <c r="E319" s="690">
        <v>123333.33</v>
      </c>
      <c r="F319" s="691"/>
      <c r="G319" s="691"/>
      <c r="H319" s="691"/>
      <c r="I319" s="691"/>
      <c r="J319" s="691"/>
      <c r="K319" s="691"/>
      <c r="L319" s="690">
        <v>123333.33</v>
      </c>
      <c r="M319" s="690">
        <v>123333.33</v>
      </c>
      <c r="N319" s="695"/>
      <c r="O319" s="698">
        <f t="shared" si="17"/>
        <v>0</v>
      </c>
      <c r="P319" s="699">
        <f t="shared" si="16"/>
        <v>0</v>
      </c>
      <c r="Q319" s="1050"/>
    </row>
    <row r="320" spans="2:17" ht="23.25" customHeight="1" hidden="1" outlineLevel="4">
      <c r="B320" s="1850" t="s">
        <v>243</v>
      </c>
      <c r="C320" s="1850"/>
      <c r="D320" s="690">
        <v>1401900.39</v>
      </c>
      <c r="E320" s="690">
        <v>1401900.39</v>
      </c>
      <c r="F320" s="691"/>
      <c r="G320" s="691"/>
      <c r="H320" s="691"/>
      <c r="I320" s="691"/>
      <c r="J320" s="691"/>
      <c r="K320" s="691"/>
      <c r="L320" s="690">
        <v>1401900.39</v>
      </c>
      <c r="M320" s="690">
        <v>1401900.39</v>
      </c>
      <c r="N320" s="695"/>
      <c r="O320" s="698">
        <f t="shared" si="17"/>
        <v>0</v>
      </c>
      <c r="P320" s="699">
        <f t="shared" si="16"/>
        <v>0</v>
      </c>
      <c r="Q320" s="1050"/>
    </row>
    <row r="321" spans="2:17" ht="45.75" customHeight="1" hidden="1" outlineLevel="4">
      <c r="B321" s="1850" t="s">
        <v>244</v>
      </c>
      <c r="C321" s="1850"/>
      <c r="D321" s="690">
        <v>762690.61</v>
      </c>
      <c r="E321" s="690">
        <v>57552.61</v>
      </c>
      <c r="F321" s="690">
        <v>705138</v>
      </c>
      <c r="G321" s="691"/>
      <c r="H321" s="692">
        <v>835.47</v>
      </c>
      <c r="I321" s="691"/>
      <c r="J321" s="691"/>
      <c r="K321" s="691"/>
      <c r="L321" s="690">
        <v>762690.61</v>
      </c>
      <c r="M321" s="690">
        <v>58388.08</v>
      </c>
      <c r="N321" s="693">
        <v>704302.53</v>
      </c>
      <c r="O321" s="698">
        <f t="shared" si="17"/>
        <v>10025.64</v>
      </c>
      <c r="P321" s="699">
        <f t="shared" si="16"/>
        <v>695112.36</v>
      </c>
      <c r="Q321" s="1050"/>
    </row>
    <row r="322" spans="2:17" ht="68.25" customHeight="1" hidden="1" outlineLevel="4">
      <c r="B322" s="1850" t="s">
        <v>245</v>
      </c>
      <c r="C322" s="1850"/>
      <c r="D322" s="690">
        <v>209078.3</v>
      </c>
      <c r="E322" s="690">
        <v>33463.59</v>
      </c>
      <c r="F322" s="690">
        <v>175614.71</v>
      </c>
      <c r="G322" s="691"/>
      <c r="H322" s="692">
        <v>434.67</v>
      </c>
      <c r="I322" s="691"/>
      <c r="J322" s="691"/>
      <c r="K322" s="691"/>
      <c r="L322" s="690">
        <v>209078.3</v>
      </c>
      <c r="M322" s="690">
        <v>33898.26</v>
      </c>
      <c r="N322" s="693">
        <v>175180.04</v>
      </c>
      <c r="O322" s="698">
        <f t="shared" si="17"/>
        <v>5216.04</v>
      </c>
      <c r="P322" s="699">
        <f t="shared" si="16"/>
        <v>170398.66999999998</v>
      </c>
      <c r="Q322" s="1050"/>
    </row>
    <row r="323" spans="2:17" ht="45.75" customHeight="1" hidden="1" outlineLevel="4">
      <c r="B323" s="1850" t="s">
        <v>246</v>
      </c>
      <c r="C323" s="1850"/>
      <c r="D323" s="690">
        <v>71121.38</v>
      </c>
      <c r="E323" s="690">
        <v>27310.81</v>
      </c>
      <c r="F323" s="690">
        <v>43810.57</v>
      </c>
      <c r="G323" s="691"/>
      <c r="H323" s="692">
        <v>73.62</v>
      </c>
      <c r="I323" s="691"/>
      <c r="J323" s="691"/>
      <c r="K323" s="691"/>
      <c r="L323" s="690">
        <v>71121.38</v>
      </c>
      <c r="M323" s="690">
        <v>27384.43</v>
      </c>
      <c r="N323" s="693">
        <v>43736.95</v>
      </c>
      <c r="O323" s="698">
        <f t="shared" si="17"/>
        <v>883.44</v>
      </c>
      <c r="P323" s="699">
        <f t="shared" si="16"/>
        <v>42927.13</v>
      </c>
      <c r="Q323" s="1050"/>
    </row>
    <row r="324" spans="2:17" ht="79.5" customHeight="1" hidden="1" outlineLevel="4">
      <c r="B324" s="1850" t="s">
        <v>247</v>
      </c>
      <c r="C324" s="1850"/>
      <c r="D324" s="690">
        <v>2700</v>
      </c>
      <c r="E324" s="690">
        <v>2700</v>
      </c>
      <c r="F324" s="691"/>
      <c r="G324" s="691"/>
      <c r="H324" s="691"/>
      <c r="I324" s="691"/>
      <c r="J324" s="691"/>
      <c r="K324" s="691"/>
      <c r="L324" s="690">
        <v>2700</v>
      </c>
      <c r="M324" s="690">
        <v>2700</v>
      </c>
      <c r="N324" s="695"/>
      <c r="O324" s="698">
        <f t="shared" si="17"/>
        <v>0</v>
      </c>
      <c r="P324" s="699">
        <f t="shared" si="16"/>
        <v>0</v>
      </c>
      <c r="Q324" s="1050"/>
    </row>
    <row r="325" spans="2:17" ht="68.25" customHeight="1" hidden="1" outlineLevel="4">
      <c r="B325" s="1850" t="s">
        <v>248</v>
      </c>
      <c r="C325" s="1850"/>
      <c r="D325" s="690">
        <v>849467.84</v>
      </c>
      <c r="E325" s="690">
        <v>120570.37</v>
      </c>
      <c r="F325" s="690">
        <v>728897.47</v>
      </c>
      <c r="G325" s="691"/>
      <c r="H325" s="690">
        <v>1401.76</v>
      </c>
      <c r="I325" s="691"/>
      <c r="J325" s="691"/>
      <c r="K325" s="691"/>
      <c r="L325" s="690">
        <v>849467.84</v>
      </c>
      <c r="M325" s="690">
        <v>121972.13</v>
      </c>
      <c r="N325" s="693">
        <v>727495.71</v>
      </c>
      <c r="O325" s="698">
        <f t="shared" si="17"/>
        <v>16821.12</v>
      </c>
      <c r="P325" s="699">
        <f t="shared" si="16"/>
        <v>712076.35</v>
      </c>
      <c r="Q325" s="1050"/>
    </row>
    <row r="326" spans="2:17" ht="68.25" customHeight="1" hidden="1" outlineLevel="4">
      <c r="B326" s="1850" t="s">
        <v>249</v>
      </c>
      <c r="C326" s="1850"/>
      <c r="D326" s="690">
        <v>49091.54</v>
      </c>
      <c r="E326" s="690">
        <v>6545.79</v>
      </c>
      <c r="F326" s="690">
        <v>42545.75</v>
      </c>
      <c r="G326" s="691"/>
      <c r="H326" s="692">
        <v>86.13</v>
      </c>
      <c r="I326" s="691"/>
      <c r="J326" s="691"/>
      <c r="K326" s="691"/>
      <c r="L326" s="690">
        <v>49091.54</v>
      </c>
      <c r="M326" s="690">
        <v>6631.92</v>
      </c>
      <c r="N326" s="693">
        <v>42459.62</v>
      </c>
      <c r="O326" s="698">
        <f t="shared" si="17"/>
        <v>1033.56</v>
      </c>
      <c r="P326" s="699">
        <f t="shared" si="16"/>
        <v>41512.19</v>
      </c>
      <c r="Q326" s="1050"/>
    </row>
    <row r="327" spans="2:17" ht="68.25" customHeight="1" hidden="1" outlineLevel="4">
      <c r="B327" s="1850" t="s">
        <v>250</v>
      </c>
      <c r="C327" s="1850"/>
      <c r="D327" s="690">
        <v>42154.32</v>
      </c>
      <c r="E327" s="690">
        <v>6374.8</v>
      </c>
      <c r="F327" s="690">
        <v>35779.52</v>
      </c>
      <c r="G327" s="691"/>
      <c r="H327" s="692">
        <v>84.99</v>
      </c>
      <c r="I327" s="691"/>
      <c r="J327" s="691"/>
      <c r="K327" s="691"/>
      <c r="L327" s="690">
        <v>42154.32</v>
      </c>
      <c r="M327" s="690">
        <v>6459.79</v>
      </c>
      <c r="N327" s="693">
        <v>35694.53</v>
      </c>
      <c r="O327" s="698">
        <f t="shared" si="17"/>
        <v>1019.8799999999999</v>
      </c>
      <c r="P327" s="699">
        <f t="shared" si="16"/>
        <v>34759.64</v>
      </c>
      <c r="Q327" s="1050"/>
    </row>
    <row r="328" spans="2:17" ht="68.25" customHeight="1" hidden="1" outlineLevel="4">
      <c r="B328" s="1850" t="s">
        <v>251</v>
      </c>
      <c r="C328" s="1850"/>
      <c r="D328" s="690">
        <v>11623</v>
      </c>
      <c r="E328" s="690">
        <v>1758.06</v>
      </c>
      <c r="F328" s="690">
        <v>9864.94</v>
      </c>
      <c r="G328" s="691"/>
      <c r="H328" s="692">
        <v>24.42</v>
      </c>
      <c r="I328" s="691"/>
      <c r="J328" s="691"/>
      <c r="K328" s="691"/>
      <c r="L328" s="690">
        <v>11623</v>
      </c>
      <c r="M328" s="690">
        <v>1782.48</v>
      </c>
      <c r="N328" s="693">
        <v>9840.52</v>
      </c>
      <c r="O328" s="698">
        <f t="shared" si="17"/>
        <v>293.04</v>
      </c>
      <c r="P328" s="699">
        <f t="shared" si="16"/>
        <v>9571.9</v>
      </c>
      <c r="Q328" s="1050"/>
    </row>
    <row r="329" spans="2:17" ht="79.5" customHeight="1" hidden="1" outlineLevel="4">
      <c r="B329" s="1850" t="s">
        <v>252</v>
      </c>
      <c r="C329" s="1850"/>
      <c r="D329" s="690">
        <v>4695756.38</v>
      </c>
      <c r="E329" s="690">
        <v>552441.68</v>
      </c>
      <c r="F329" s="690">
        <v>4143314.7</v>
      </c>
      <c r="G329" s="691"/>
      <c r="H329" s="690">
        <v>9865.03</v>
      </c>
      <c r="I329" s="691"/>
      <c r="J329" s="691"/>
      <c r="K329" s="691"/>
      <c r="L329" s="690">
        <v>4695756.38</v>
      </c>
      <c r="M329" s="690">
        <v>562306.71</v>
      </c>
      <c r="N329" s="693">
        <v>4133449.67</v>
      </c>
      <c r="O329" s="698">
        <f t="shared" si="17"/>
        <v>118380.36000000002</v>
      </c>
      <c r="P329" s="699">
        <f t="shared" si="16"/>
        <v>4024934.3400000003</v>
      </c>
      <c r="Q329" s="1050"/>
    </row>
    <row r="330" spans="2:17" ht="45.75" customHeight="1" hidden="1" outlineLevel="4">
      <c r="B330" s="1850" t="s">
        <v>253</v>
      </c>
      <c r="C330" s="1850"/>
      <c r="D330" s="692">
        <v>836.4</v>
      </c>
      <c r="E330" s="692">
        <v>836.4</v>
      </c>
      <c r="F330" s="691"/>
      <c r="G330" s="691"/>
      <c r="H330" s="691"/>
      <c r="I330" s="691"/>
      <c r="J330" s="691"/>
      <c r="K330" s="691"/>
      <c r="L330" s="692">
        <v>836.4</v>
      </c>
      <c r="M330" s="692">
        <v>836.4</v>
      </c>
      <c r="N330" s="695"/>
      <c r="O330" s="698">
        <f t="shared" si="17"/>
        <v>0</v>
      </c>
      <c r="P330" s="699">
        <f t="shared" si="16"/>
        <v>0</v>
      </c>
      <c r="Q330" s="1050"/>
    </row>
    <row r="331" spans="2:17" ht="45.75" customHeight="1" hidden="1" outlineLevel="4">
      <c r="B331" s="1850" t="s">
        <v>254</v>
      </c>
      <c r="C331" s="1850"/>
      <c r="D331" s="692">
        <v>918.4</v>
      </c>
      <c r="E331" s="692">
        <v>918.4</v>
      </c>
      <c r="F331" s="691"/>
      <c r="G331" s="691"/>
      <c r="H331" s="691"/>
      <c r="I331" s="691"/>
      <c r="J331" s="691"/>
      <c r="K331" s="691"/>
      <c r="L331" s="692">
        <v>918.4</v>
      </c>
      <c r="M331" s="692">
        <v>918.4</v>
      </c>
      <c r="N331" s="695"/>
      <c r="O331" s="698">
        <f t="shared" si="17"/>
        <v>0</v>
      </c>
      <c r="P331" s="699">
        <f t="shared" si="16"/>
        <v>0</v>
      </c>
      <c r="Q331" s="1050"/>
    </row>
    <row r="332" spans="2:17" ht="45.75" customHeight="1" hidden="1" outlineLevel="4">
      <c r="B332" s="1850" t="s">
        <v>255</v>
      </c>
      <c r="C332" s="1850"/>
      <c r="D332" s="690">
        <v>31632.32</v>
      </c>
      <c r="E332" s="690">
        <v>31632.32</v>
      </c>
      <c r="F332" s="691"/>
      <c r="G332" s="691"/>
      <c r="H332" s="691"/>
      <c r="I332" s="691"/>
      <c r="J332" s="691"/>
      <c r="K332" s="691"/>
      <c r="L332" s="690">
        <v>31632.32</v>
      </c>
      <c r="M332" s="690">
        <v>31632.32</v>
      </c>
      <c r="N332" s="695"/>
      <c r="O332" s="698">
        <f t="shared" si="17"/>
        <v>0</v>
      </c>
      <c r="P332" s="699">
        <f aca="true" t="shared" si="19" ref="P332:P395">F332-O332</f>
        <v>0</v>
      </c>
      <c r="Q332" s="1050"/>
    </row>
    <row r="333" spans="2:17" ht="68.25" customHeight="1" hidden="1" outlineLevel="4">
      <c r="B333" s="1850" t="s">
        <v>256</v>
      </c>
      <c r="C333" s="1850"/>
      <c r="D333" s="690">
        <v>8288.56</v>
      </c>
      <c r="E333" s="690">
        <v>8288.56</v>
      </c>
      <c r="F333" s="691"/>
      <c r="G333" s="691"/>
      <c r="H333" s="691"/>
      <c r="I333" s="691"/>
      <c r="J333" s="691"/>
      <c r="K333" s="691"/>
      <c r="L333" s="690">
        <v>8288.56</v>
      </c>
      <c r="M333" s="690">
        <v>8288.56</v>
      </c>
      <c r="N333" s="695"/>
      <c r="O333" s="698">
        <f t="shared" si="17"/>
        <v>0</v>
      </c>
      <c r="P333" s="699">
        <f t="shared" si="19"/>
        <v>0</v>
      </c>
      <c r="Q333" s="1050"/>
    </row>
    <row r="334" spans="2:17" ht="68.25" customHeight="1" hidden="1" outlineLevel="4">
      <c r="B334" s="1850" t="s">
        <v>257</v>
      </c>
      <c r="C334" s="1850"/>
      <c r="D334" s="690">
        <v>263961.9</v>
      </c>
      <c r="E334" s="690">
        <v>42248.46</v>
      </c>
      <c r="F334" s="690">
        <v>221713.44</v>
      </c>
      <c r="G334" s="691"/>
      <c r="H334" s="692">
        <v>548.78</v>
      </c>
      <c r="I334" s="691"/>
      <c r="J334" s="691"/>
      <c r="K334" s="691"/>
      <c r="L334" s="690">
        <v>263961.9</v>
      </c>
      <c r="M334" s="690">
        <v>42797.24</v>
      </c>
      <c r="N334" s="693">
        <v>221164.66</v>
      </c>
      <c r="O334" s="698">
        <f t="shared" si="17"/>
        <v>6585.36</v>
      </c>
      <c r="P334" s="699">
        <f t="shared" si="19"/>
        <v>215128.08000000002</v>
      </c>
      <c r="Q334" s="1050"/>
    </row>
    <row r="335" spans="2:17" ht="45.75" customHeight="1" hidden="1" outlineLevel="4">
      <c r="B335" s="1850" t="s">
        <v>258</v>
      </c>
      <c r="C335" s="1850"/>
      <c r="D335" s="690">
        <v>197190.32</v>
      </c>
      <c r="E335" s="690">
        <v>112534.24</v>
      </c>
      <c r="F335" s="690">
        <v>84656.08</v>
      </c>
      <c r="G335" s="691"/>
      <c r="H335" s="692">
        <v>254.11</v>
      </c>
      <c r="I335" s="691"/>
      <c r="J335" s="691"/>
      <c r="K335" s="691"/>
      <c r="L335" s="690">
        <v>197190.32</v>
      </c>
      <c r="M335" s="690">
        <v>112788.35</v>
      </c>
      <c r="N335" s="693">
        <v>84401.97</v>
      </c>
      <c r="O335" s="698">
        <f t="shared" si="17"/>
        <v>3049.32</v>
      </c>
      <c r="P335" s="699">
        <f t="shared" si="19"/>
        <v>81606.76</v>
      </c>
      <c r="Q335" s="1050"/>
    </row>
    <row r="336" spans="2:17" ht="79.5" customHeight="1" hidden="1" outlineLevel="4">
      <c r="B336" s="1850" t="s">
        <v>259</v>
      </c>
      <c r="C336" s="1850"/>
      <c r="D336" s="690">
        <v>47389.3</v>
      </c>
      <c r="E336" s="690">
        <v>12517.28</v>
      </c>
      <c r="F336" s="690">
        <v>34872.02</v>
      </c>
      <c r="G336" s="691"/>
      <c r="H336" s="692">
        <v>33.73</v>
      </c>
      <c r="I336" s="691"/>
      <c r="J336" s="691"/>
      <c r="K336" s="691"/>
      <c r="L336" s="690">
        <v>47389.3</v>
      </c>
      <c r="M336" s="690">
        <v>12551.01</v>
      </c>
      <c r="N336" s="693">
        <v>34838.29</v>
      </c>
      <c r="O336" s="698">
        <f t="shared" si="17"/>
        <v>404.76</v>
      </c>
      <c r="P336" s="699">
        <f t="shared" si="19"/>
        <v>34467.259999999995</v>
      </c>
      <c r="Q336" s="1050"/>
    </row>
    <row r="337" spans="2:17" ht="45.75" customHeight="1" hidden="1" outlineLevel="4">
      <c r="B337" s="1850" t="s">
        <v>260</v>
      </c>
      <c r="C337" s="1850"/>
      <c r="D337" s="690">
        <v>18384.4</v>
      </c>
      <c r="E337" s="690">
        <v>16239.43</v>
      </c>
      <c r="F337" s="690">
        <v>2144.97</v>
      </c>
      <c r="G337" s="691"/>
      <c r="H337" s="692">
        <v>50.23</v>
      </c>
      <c r="I337" s="691"/>
      <c r="J337" s="691"/>
      <c r="K337" s="691"/>
      <c r="L337" s="690">
        <v>18384.4</v>
      </c>
      <c r="M337" s="690">
        <v>16289.66</v>
      </c>
      <c r="N337" s="693">
        <v>2094.74</v>
      </c>
      <c r="O337" s="698">
        <f t="shared" si="17"/>
        <v>602.76</v>
      </c>
      <c r="P337" s="699">
        <f t="shared" si="19"/>
        <v>1542.2099999999998</v>
      </c>
      <c r="Q337" s="1050"/>
    </row>
    <row r="338" spans="2:17" ht="68.25" customHeight="1" hidden="1" outlineLevel="4">
      <c r="B338" s="1850" t="s">
        <v>261</v>
      </c>
      <c r="C338" s="1850"/>
      <c r="D338" s="690">
        <v>91350</v>
      </c>
      <c r="E338" s="690">
        <v>69056.27</v>
      </c>
      <c r="F338" s="690">
        <v>22293.73</v>
      </c>
      <c r="G338" s="691"/>
      <c r="H338" s="692">
        <v>186.05</v>
      </c>
      <c r="I338" s="691"/>
      <c r="J338" s="691"/>
      <c r="K338" s="691"/>
      <c r="L338" s="690">
        <v>91350</v>
      </c>
      <c r="M338" s="690">
        <v>69242.32</v>
      </c>
      <c r="N338" s="693">
        <v>22107.68</v>
      </c>
      <c r="O338" s="698">
        <f t="shared" si="17"/>
        <v>2232.6000000000004</v>
      </c>
      <c r="P338" s="699">
        <f t="shared" si="19"/>
        <v>20061.129999999997</v>
      </c>
      <c r="Q338" s="1050"/>
    </row>
    <row r="339" spans="2:17" ht="57" customHeight="1" hidden="1" outlineLevel="4">
      <c r="B339" s="1850" t="s">
        <v>585</v>
      </c>
      <c r="C339" s="1850"/>
      <c r="D339" s="690">
        <v>30250</v>
      </c>
      <c r="E339" s="690">
        <v>22866.82</v>
      </c>
      <c r="F339" s="690">
        <v>7383.18</v>
      </c>
      <c r="G339" s="691"/>
      <c r="H339" s="692">
        <v>61.61</v>
      </c>
      <c r="I339" s="691"/>
      <c r="J339" s="691"/>
      <c r="K339" s="691"/>
      <c r="L339" s="690">
        <v>30250</v>
      </c>
      <c r="M339" s="690">
        <v>22928.43</v>
      </c>
      <c r="N339" s="693">
        <v>7321.57</v>
      </c>
      <c r="O339" s="698">
        <f t="shared" si="17"/>
        <v>739.3199999999999</v>
      </c>
      <c r="P339" s="699">
        <f t="shared" si="19"/>
        <v>6643.860000000001</v>
      </c>
      <c r="Q339" s="1050"/>
    </row>
    <row r="340" spans="2:17" ht="68.25" customHeight="1" hidden="1" outlineLevel="4">
      <c r="B340" s="1850" t="s">
        <v>586</v>
      </c>
      <c r="C340" s="1850"/>
      <c r="D340" s="690">
        <v>51832</v>
      </c>
      <c r="E340" s="690">
        <v>29998.9</v>
      </c>
      <c r="F340" s="690">
        <v>21833.1</v>
      </c>
      <c r="G340" s="691"/>
      <c r="H340" s="692">
        <v>80.86</v>
      </c>
      <c r="I340" s="691"/>
      <c r="J340" s="691"/>
      <c r="K340" s="691"/>
      <c r="L340" s="690">
        <v>51832</v>
      </c>
      <c r="M340" s="690">
        <v>30079.76</v>
      </c>
      <c r="N340" s="693">
        <v>21752.24</v>
      </c>
      <c r="O340" s="698">
        <f t="shared" si="17"/>
        <v>970.3199999999999</v>
      </c>
      <c r="P340" s="699">
        <f t="shared" si="19"/>
        <v>20862.78</v>
      </c>
      <c r="Q340" s="1050"/>
    </row>
    <row r="341" spans="2:17" ht="68.25" customHeight="1" hidden="1" outlineLevel="4">
      <c r="B341" s="1850" t="s">
        <v>587</v>
      </c>
      <c r="C341" s="1850"/>
      <c r="D341" s="690">
        <v>301628.96</v>
      </c>
      <c r="E341" s="690">
        <v>254045.87</v>
      </c>
      <c r="F341" s="690">
        <v>47583.09</v>
      </c>
      <c r="G341" s="691"/>
      <c r="H341" s="692">
        <v>353.2</v>
      </c>
      <c r="I341" s="691"/>
      <c r="J341" s="691"/>
      <c r="K341" s="691"/>
      <c r="L341" s="690">
        <v>301628.96</v>
      </c>
      <c r="M341" s="690">
        <v>254399.07</v>
      </c>
      <c r="N341" s="693">
        <v>47229.89</v>
      </c>
      <c r="O341" s="698">
        <f t="shared" si="17"/>
        <v>4238.4</v>
      </c>
      <c r="P341" s="699">
        <f t="shared" si="19"/>
        <v>43344.689999999995</v>
      </c>
      <c r="Q341" s="1050"/>
    </row>
    <row r="342" spans="2:17" ht="79.5" customHeight="1" hidden="1" outlineLevel="4">
      <c r="B342" s="1850" t="s">
        <v>588</v>
      </c>
      <c r="C342" s="1850"/>
      <c r="D342" s="690">
        <v>52976.36</v>
      </c>
      <c r="E342" s="690">
        <v>13588.61</v>
      </c>
      <c r="F342" s="690">
        <v>39387.75</v>
      </c>
      <c r="G342" s="691"/>
      <c r="H342" s="692">
        <v>30.68</v>
      </c>
      <c r="I342" s="691"/>
      <c r="J342" s="691"/>
      <c r="K342" s="691"/>
      <c r="L342" s="690">
        <v>52976.36</v>
      </c>
      <c r="M342" s="690">
        <v>13619.29</v>
      </c>
      <c r="N342" s="693">
        <v>39357.07</v>
      </c>
      <c r="O342" s="698">
        <f t="shared" si="17"/>
        <v>368.15999999999997</v>
      </c>
      <c r="P342" s="699">
        <f t="shared" si="19"/>
        <v>39019.59</v>
      </c>
      <c r="Q342" s="1050"/>
    </row>
    <row r="343" spans="2:17" ht="45.75" customHeight="1" hidden="1" outlineLevel="4">
      <c r="B343" s="1850" t="s">
        <v>589</v>
      </c>
      <c r="C343" s="1850"/>
      <c r="D343" s="690">
        <v>102747.97</v>
      </c>
      <c r="E343" s="690">
        <v>59582.27</v>
      </c>
      <c r="F343" s="690">
        <v>43165.7</v>
      </c>
      <c r="G343" s="691"/>
      <c r="H343" s="692">
        <v>82.86</v>
      </c>
      <c r="I343" s="691"/>
      <c r="J343" s="691"/>
      <c r="K343" s="691"/>
      <c r="L343" s="690">
        <v>102747.97</v>
      </c>
      <c r="M343" s="690">
        <v>59665.13</v>
      </c>
      <c r="N343" s="693">
        <v>43082.84</v>
      </c>
      <c r="O343" s="698">
        <f t="shared" si="17"/>
        <v>994.3199999999999</v>
      </c>
      <c r="P343" s="699">
        <f t="shared" si="19"/>
        <v>42171.38</v>
      </c>
      <c r="Q343" s="1050"/>
    </row>
    <row r="344" spans="2:17" ht="68.25" customHeight="1" hidden="1" outlineLevel="4">
      <c r="B344" s="1850" t="s">
        <v>590</v>
      </c>
      <c r="C344" s="1850"/>
      <c r="D344" s="690">
        <v>688117.11</v>
      </c>
      <c r="E344" s="690">
        <v>112985.26</v>
      </c>
      <c r="F344" s="690">
        <v>575131.85</v>
      </c>
      <c r="G344" s="691"/>
      <c r="H344" s="690">
        <v>2406.41</v>
      </c>
      <c r="I344" s="691"/>
      <c r="J344" s="691"/>
      <c r="K344" s="691"/>
      <c r="L344" s="690">
        <v>688117.11</v>
      </c>
      <c r="M344" s="690">
        <v>115391.67</v>
      </c>
      <c r="N344" s="693">
        <v>572725.44</v>
      </c>
      <c r="O344" s="698">
        <f t="shared" si="17"/>
        <v>28876.92</v>
      </c>
      <c r="P344" s="699">
        <f t="shared" si="19"/>
        <v>546254.9299999999</v>
      </c>
      <c r="Q344" s="1050"/>
    </row>
    <row r="345" spans="2:17" ht="68.25" customHeight="1" hidden="1" outlineLevel="4">
      <c r="B345" s="1850" t="s">
        <v>591</v>
      </c>
      <c r="C345" s="1850"/>
      <c r="D345" s="690">
        <v>44593.46</v>
      </c>
      <c r="E345" s="690">
        <v>25879.33</v>
      </c>
      <c r="F345" s="690">
        <v>18714.13</v>
      </c>
      <c r="G345" s="691"/>
      <c r="H345" s="692">
        <v>51.43</v>
      </c>
      <c r="I345" s="691"/>
      <c r="J345" s="691"/>
      <c r="K345" s="691"/>
      <c r="L345" s="690">
        <v>44593.46</v>
      </c>
      <c r="M345" s="690">
        <v>25930.76</v>
      </c>
      <c r="N345" s="693">
        <v>18662.7</v>
      </c>
      <c r="O345" s="698">
        <f t="shared" si="17"/>
        <v>617.16</v>
      </c>
      <c r="P345" s="699">
        <f t="shared" si="19"/>
        <v>18096.97</v>
      </c>
      <c r="Q345" s="1050"/>
    </row>
    <row r="346" spans="2:17" ht="37.5" customHeight="1" collapsed="1">
      <c r="B346" s="1880" t="s">
        <v>21</v>
      </c>
      <c r="C346" s="1880"/>
      <c r="D346" s="689">
        <f>SUM(D350:D431)</f>
        <v>12454742.610000005</v>
      </c>
      <c r="E346" s="689">
        <f aca="true" t="shared" si="20" ref="E346:O346">SUM(E350:E431)</f>
        <v>5573410.239999999</v>
      </c>
      <c r="F346" s="689">
        <f t="shared" si="20"/>
        <v>6881332.369999998</v>
      </c>
      <c r="G346" s="689">
        <f t="shared" si="20"/>
        <v>0</v>
      </c>
      <c r="H346" s="689">
        <f t="shared" si="20"/>
        <v>23696.270000000004</v>
      </c>
      <c r="I346" s="689">
        <f t="shared" si="20"/>
        <v>0</v>
      </c>
      <c r="J346" s="689">
        <f t="shared" si="20"/>
        <v>0</v>
      </c>
      <c r="K346" s="689">
        <f t="shared" si="20"/>
        <v>0</v>
      </c>
      <c r="L346" s="689">
        <f t="shared" si="20"/>
        <v>12454742.610000005</v>
      </c>
      <c r="M346" s="689">
        <f t="shared" si="20"/>
        <v>5597106.509999997</v>
      </c>
      <c r="N346" s="689">
        <f t="shared" si="20"/>
        <v>6857636.1</v>
      </c>
      <c r="O346" s="689">
        <f t="shared" si="20"/>
        <v>284355.23999999993</v>
      </c>
      <c r="P346" s="701">
        <f t="shared" si="19"/>
        <v>6596977.129999998</v>
      </c>
      <c r="Q346" s="1050">
        <v>2</v>
      </c>
    </row>
    <row r="347" spans="2:17" ht="12" customHeight="1" hidden="1" outlineLevel="1">
      <c r="B347" s="1877" t="s">
        <v>546</v>
      </c>
      <c r="C347" s="1877"/>
      <c r="D347" s="690">
        <v>12454742.61</v>
      </c>
      <c r="E347" s="690">
        <v>5573410.24</v>
      </c>
      <c r="F347" s="690">
        <v>6881332.37</v>
      </c>
      <c r="G347" s="691"/>
      <c r="H347" s="690">
        <v>23696.27</v>
      </c>
      <c r="I347" s="691"/>
      <c r="J347" s="691"/>
      <c r="K347" s="691"/>
      <c r="L347" s="690">
        <v>12454742.61</v>
      </c>
      <c r="M347" s="690">
        <v>5597106.51</v>
      </c>
      <c r="N347" s="693">
        <v>6857636.1</v>
      </c>
      <c r="O347" s="698">
        <f t="shared" si="17"/>
        <v>284355.24</v>
      </c>
      <c r="P347" s="699">
        <f t="shared" si="19"/>
        <v>6596977.13</v>
      </c>
      <c r="Q347" s="1050"/>
    </row>
    <row r="348" spans="2:17" ht="12" customHeight="1" hidden="1" outlineLevel="2">
      <c r="B348" s="1878" t="s">
        <v>547</v>
      </c>
      <c r="C348" s="1878"/>
      <c r="D348" s="690">
        <v>12454742.61</v>
      </c>
      <c r="E348" s="690">
        <v>5573410.24</v>
      </c>
      <c r="F348" s="690">
        <v>6881332.37</v>
      </c>
      <c r="G348" s="691"/>
      <c r="H348" s="690">
        <v>23696.27</v>
      </c>
      <c r="I348" s="691"/>
      <c r="J348" s="691"/>
      <c r="K348" s="691"/>
      <c r="L348" s="690">
        <v>12454742.61</v>
      </c>
      <c r="M348" s="690">
        <v>5597106.51</v>
      </c>
      <c r="N348" s="693">
        <v>6857636.1</v>
      </c>
      <c r="O348" s="698">
        <f t="shared" si="17"/>
        <v>284355.24</v>
      </c>
      <c r="P348" s="699">
        <f t="shared" si="19"/>
        <v>6596977.13</v>
      </c>
      <c r="Q348" s="1050"/>
    </row>
    <row r="349" spans="2:17" ht="23.25" customHeight="1" hidden="1" outlineLevel="3">
      <c r="B349" s="1879" t="s">
        <v>21</v>
      </c>
      <c r="C349" s="1879"/>
      <c r="D349" s="690">
        <v>12454742.61</v>
      </c>
      <c r="E349" s="690">
        <v>5573410.24</v>
      </c>
      <c r="F349" s="690">
        <v>6881332.37</v>
      </c>
      <c r="G349" s="691"/>
      <c r="H349" s="690">
        <v>23696.27</v>
      </c>
      <c r="I349" s="691"/>
      <c r="J349" s="691"/>
      <c r="K349" s="691"/>
      <c r="L349" s="690">
        <v>12454742.61</v>
      </c>
      <c r="M349" s="690">
        <v>5597106.51</v>
      </c>
      <c r="N349" s="693">
        <v>6857636.1</v>
      </c>
      <c r="O349" s="698">
        <f t="shared" si="17"/>
        <v>284355.24</v>
      </c>
      <c r="P349" s="699">
        <f t="shared" si="19"/>
        <v>6596977.13</v>
      </c>
      <c r="Q349" s="1050"/>
    </row>
    <row r="350" spans="2:17" ht="23.25" customHeight="1" hidden="1" outlineLevel="4">
      <c r="B350" s="1850" t="s">
        <v>592</v>
      </c>
      <c r="C350" s="1850"/>
      <c r="D350" s="690">
        <v>38917.2</v>
      </c>
      <c r="E350" s="690">
        <v>26463.77</v>
      </c>
      <c r="F350" s="690">
        <v>12453.43</v>
      </c>
      <c r="G350" s="691"/>
      <c r="H350" s="692">
        <v>56.9</v>
      </c>
      <c r="I350" s="691"/>
      <c r="J350" s="691"/>
      <c r="K350" s="691"/>
      <c r="L350" s="690">
        <v>38917.2</v>
      </c>
      <c r="M350" s="690">
        <v>26520.67</v>
      </c>
      <c r="N350" s="693">
        <v>12396.53</v>
      </c>
      <c r="O350" s="698">
        <f t="shared" si="17"/>
        <v>682.8</v>
      </c>
      <c r="P350" s="699">
        <f t="shared" si="19"/>
        <v>11770.630000000001</v>
      </c>
      <c r="Q350" s="1050"/>
    </row>
    <row r="351" spans="2:17" ht="23.25" customHeight="1" hidden="1" outlineLevel="4">
      <c r="B351" s="1850" t="s">
        <v>593</v>
      </c>
      <c r="C351" s="1850"/>
      <c r="D351" s="690">
        <v>238917.2</v>
      </c>
      <c r="E351" s="690">
        <v>53437.35</v>
      </c>
      <c r="F351" s="690">
        <v>185479.85</v>
      </c>
      <c r="G351" s="691"/>
      <c r="H351" s="692">
        <v>114.92</v>
      </c>
      <c r="I351" s="691"/>
      <c r="J351" s="691"/>
      <c r="K351" s="691"/>
      <c r="L351" s="690">
        <v>238917.2</v>
      </c>
      <c r="M351" s="690">
        <v>53552.27</v>
      </c>
      <c r="N351" s="693">
        <v>185364.93</v>
      </c>
      <c r="O351" s="698">
        <f t="shared" si="17"/>
        <v>1379.04</v>
      </c>
      <c r="P351" s="699">
        <f t="shared" si="19"/>
        <v>184100.81</v>
      </c>
      <c r="Q351" s="1050"/>
    </row>
    <row r="352" spans="2:17" ht="34.5" customHeight="1" hidden="1" outlineLevel="4">
      <c r="B352" s="1850" t="s">
        <v>594</v>
      </c>
      <c r="C352" s="1850"/>
      <c r="D352" s="690">
        <v>1698891.53</v>
      </c>
      <c r="E352" s="690">
        <v>441331.98</v>
      </c>
      <c r="F352" s="690">
        <v>1257559.55</v>
      </c>
      <c r="G352" s="691"/>
      <c r="H352" s="690">
        <v>3709.61</v>
      </c>
      <c r="I352" s="691"/>
      <c r="J352" s="691"/>
      <c r="K352" s="691"/>
      <c r="L352" s="690">
        <v>1698891.53</v>
      </c>
      <c r="M352" s="690">
        <v>445041.59</v>
      </c>
      <c r="N352" s="693">
        <v>1253849.94</v>
      </c>
      <c r="O352" s="698">
        <f t="shared" si="17"/>
        <v>44515.32</v>
      </c>
      <c r="P352" s="699">
        <f t="shared" si="19"/>
        <v>1213044.23</v>
      </c>
      <c r="Q352" s="1050"/>
    </row>
    <row r="353" spans="2:17" ht="45.75" customHeight="1" hidden="1" outlineLevel="4">
      <c r="B353" s="1850" t="s">
        <v>595</v>
      </c>
      <c r="C353" s="1850"/>
      <c r="D353" s="690">
        <v>148256</v>
      </c>
      <c r="E353" s="690">
        <v>148256</v>
      </c>
      <c r="F353" s="691"/>
      <c r="G353" s="691"/>
      <c r="H353" s="691"/>
      <c r="I353" s="691"/>
      <c r="J353" s="691"/>
      <c r="K353" s="691"/>
      <c r="L353" s="690">
        <v>148256</v>
      </c>
      <c r="M353" s="690">
        <v>148256</v>
      </c>
      <c r="N353" s="695"/>
      <c r="O353" s="698">
        <f aca="true" t="shared" si="21" ref="O353:O416">H353*12</f>
        <v>0</v>
      </c>
      <c r="P353" s="699">
        <f t="shared" si="19"/>
        <v>0</v>
      </c>
      <c r="Q353" s="1050"/>
    </row>
    <row r="354" spans="2:17" ht="34.5" customHeight="1" hidden="1" outlineLevel="4">
      <c r="B354" s="1850" t="s">
        <v>596</v>
      </c>
      <c r="C354" s="1850"/>
      <c r="D354" s="690">
        <v>14200</v>
      </c>
      <c r="E354" s="690">
        <v>2057.31</v>
      </c>
      <c r="F354" s="690">
        <v>12142.69</v>
      </c>
      <c r="G354" s="691"/>
      <c r="H354" s="692">
        <v>11.43</v>
      </c>
      <c r="I354" s="691"/>
      <c r="J354" s="691"/>
      <c r="K354" s="691"/>
      <c r="L354" s="690">
        <v>14200</v>
      </c>
      <c r="M354" s="690">
        <v>2068.74</v>
      </c>
      <c r="N354" s="693">
        <v>12131.26</v>
      </c>
      <c r="O354" s="698">
        <f t="shared" si="21"/>
        <v>137.16</v>
      </c>
      <c r="P354" s="699">
        <f t="shared" si="19"/>
        <v>12005.53</v>
      </c>
      <c r="Q354" s="1050"/>
    </row>
    <row r="355" spans="2:17" ht="34.5" customHeight="1" hidden="1" outlineLevel="4">
      <c r="B355" s="1850" t="s">
        <v>597</v>
      </c>
      <c r="C355" s="1850"/>
      <c r="D355" s="690">
        <v>64171.88</v>
      </c>
      <c r="E355" s="690">
        <v>29548.35</v>
      </c>
      <c r="F355" s="690">
        <v>34623.53</v>
      </c>
      <c r="G355" s="691"/>
      <c r="H355" s="692">
        <v>117.32</v>
      </c>
      <c r="I355" s="691"/>
      <c r="J355" s="691"/>
      <c r="K355" s="691"/>
      <c r="L355" s="690">
        <v>64171.88</v>
      </c>
      <c r="M355" s="690">
        <v>29665.67</v>
      </c>
      <c r="N355" s="693">
        <v>34506.21</v>
      </c>
      <c r="O355" s="698">
        <f t="shared" si="21"/>
        <v>1407.84</v>
      </c>
      <c r="P355" s="699">
        <f t="shared" si="19"/>
        <v>33215.69</v>
      </c>
      <c r="Q355" s="1050"/>
    </row>
    <row r="356" spans="2:17" ht="34.5" customHeight="1" hidden="1" outlineLevel="4">
      <c r="B356" s="1850" t="s">
        <v>598</v>
      </c>
      <c r="C356" s="1850"/>
      <c r="D356" s="690">
        <v>479906.22</v>
      </c>
      <c r="E356" s="690">
        <v>129426.06</v>
      </c>
      <c r="F356" s="690">
        <v>350480.16</v>
      </c>
      <c r="G356" s="691"/>
      <c r="H356" s="690">
        <v>1269.86</v>
      </c>
      <c r="I356" s="691"/>
      <c r="J356" s="691"/>
      <c r="K356" s="691"/>
      <c r="L356" s="690">
        <v>479906.22</v>
      </c>
      <c r="M356" s="690">
        <v>130695.92</v>
      </c>
      <c r="N356" s="693">
        <v>349210.3</v>
      </c>
      <c r="O356" s="698">
        <f t="shared" si="21"/>
        <v>15238.32</v>
      </c>
      <c r="P356" s="699">
        <f t="shared" si="19"/>
        <v>335241.83999999997</v>
      </c>
      <c r="Q356" s="1050"/>
    </row>
    <row r="357" spans="2:17" ht="34.5" customHeight="1" hidden="1" outlineLevel="4">
      <c r="B357" s="1850" t="s">
        <v>599</v>
      </c>
      <c r="C357" s="1850"/>
      <c r="D357" s="690">
        <v>614102.65</v>
      </c>
      <c r="E357" s="690">
        <v>69572.12</v>
      </c>
      <c r="F357" s="690">
        <v>544530.53</v>
      </c>
      <c r="G357" s="691"/>
      <c r="H357" s="690">
        <v>1475.69</v>
      </c>
      <c r="I357" s="691"/>
      <c r="J357" s="691"/>
      <c r="K357" s="691"/>
      <c r="L357" s="690">
        <v>614102.65</v>
      </c>
      <c r="M357" s="690">
        <v>71047.81</v>
      </c>
      <c r="N357" s="693">
        <v>543054.84</v>
      </c>
      <c r="O357" s="698">
        <f t="shared" si="21"/>
        <v>17708.28</v>
      </c>
      <c r="P357" s="699">
        <f t="shared" si="19"/>
        <v>526822.25</v>
      </c>
      <c r="Q357" s="1050"/>
    </row>
    <row r="358" spans="2:17" ht="45.75" customHeight="1" hidden="1" outlineLevel="4">
      <c r="B358" s="1850" t="s">
        <v>600</v>
      </c>
      <c r="C358" s="1850"/>
      <c r="D358" s="690">
        <v>19094.45</v>
      </c>
      <c r="E358" s="690">
        <v>10199.19</v>
      </c>
      <c r="F358" s="690">
        <v>8895.26</v>
      </c>
      <c r="G358" s="691"/>
      <c r="H358" s="692">
        <v>37.08</v>
      </c>
      <c r="I358" s="691"/>
      <c r="J358" s="691"/>
      <c r="K358" s="691"/>
      <c r="L358" s="690">
        <v>19094.45</v>
      </c>
      <c r="M358" s="690">
        <v>10236.27</v>
      </c>
      <c r="N358" s="693">
        <v>8858.18</v>
      </c>
      <c r="O358" s="698">
        <f t="shared" si="21"/>
        <v>444.96</v>
      </c>
      <c r="P358" s="699">
        <f t="shared" si="19"/>
        <v>8450.300000000001</v>
      </c>
      <c r="Q358" s="1050"/>
    </row>
    <row r="359" spans="2:17" ht="45.75" customHeight="1" hidden="1" outlineLevel="4">
      <c r="B359" s="1850" t="s">
        <v>601</v>
      </c>
      <c r="C359" s="1850"/>
      <c r="D359" s="690">
        <v>30178.52</v>
      </c>
      <c r="E359" s="690">
        <v>8887.17</v>
      </c>
      <c r="F359" s="690">
        <v>21291.35</v>
      </c>
      <c r="G359" s="691"/>
      <c r="H359" s="692">
        <v>32.31</v>
      </c>
      <c r="I359" s="691"/>
      <c r="J359" s="691"/>
      <c r="K359" s="691"/>
      <c r="L359" s="690">
        <v>30178.52</v>
      </c>
      <c r="M359" s="690">
        <v>8919.48</v>
      </c>
      <c r="N359" s="693">
        <v>21259.04</v>
      </c>
      <c r="O359" s="698">
        <f t="shared" si="21"/>
        <v>387.72</v>
      </c>
      <c r="P359" s="699">
        <f t="shared" si="19"/>
        <v>20903.629999999997</v>
      </c>
      <c r="Q359" s="1050"/>
    </row>
    <row r="360" spans="2:17" ht="45.75" customHeight="1" hidden="1" outlineLevel="4">
      <c r="B360" s="1850" t="s">
        <v>602</v>
      </c>
      <c r="C360" s="1850"/>
      <c r="D360" s="690">
        <v>11279.15</v>
      </c>
      <c r="E360" s="690">
        <v>6024.65</v>
      </c>
      <c r="F360" s="690">
        <v>5254.5</v>
      </c>
      <c r="G360" s="691"/>
      <c r="H360" s="692">
        <v>21.9</v>
      </c>
      <c r="I360" s="691"/>
      <c r="J360" s="691"/>
      <c r="K360" s="691"/>
      <c r="L360" s="690">
        <v>11279.15</v>
      </c>
      <c r="M360" s="690">
        <v>6046.55</v>
      </c>
      <c r="N360" s="693">
        <v>5232.6</v>
      </c>
      <c r="O360" s="698">
        <f t="shared" si="21"/>
        <v>262.79999999999995</v>
      </c>
      <c r="P360" s="699">
        <f t="shared" si="19"/>
        <v>4991.7</v>
      </c>
      <c r="Q360" s="1050"/>
    </row>
    <row r="361" spans="2:17" ht="45.75" customHeight="1" hidden="1" outlineLevel="4">
      <c r="B361" s="1850" t="s">
        <v>603</v>
      </c>
      <c r="C361" s="1850"/>
      <c r="D361" s="690">
        <v>11081.4</v>
      </c>
      <c r="E361" s="690">
        <v>5918.81</v>
      </c>
      <c r="F361" s="690">
        <v>5162.59</v>
      </c>
      <c r="G361" s="691"/>
      <c r="H361" s="692">
        <v>21.52</v>
      </c>
      <c r="I361" s="691"/>
      <c r="J361" s="691"/>
      <c r="K361" s="691"/>
      <c r="L361" s="690">
        <v>11081.4</v>
      </c>
      <c r="M361" s="690">
        <v>5940.33</v>
      </c>
      <c r="N361" s="693">
        <v>5141.07</v>
      </c>
      <c r="O361" s="698">
        <f t="shared" si="21"/>
        <v>258.24</v>
      </c>
      <c r="P361" s="699">
        <f t="shared" si="19"/>
        <v>4904.35</v>
      </c>
      <c r="Q361" s="1050"/>
    </row>
    <row r="362" spans="2:17" ht="57" customHeight="1" hidden="1" outlineLevel="4">
      <c r="B362" s="1850" t="s">
        <v>604</v>
      </c>
      <c r="C362" s="1850"/>
      <c r="D362" s="690">
        <v>40947.52</v>
      </c>
      <c r="E362" s="690">
        <v>30286.94</v>
      </c>
      <c r="F362" s="690">
        <v>10660.58</v>
      </c>
      <c r="G362" s="691"/>
      <c r="H362" s="692">
        <v>73.38</v>
      </c>
      <c r="I362" s="691"/>
      <c r="J362" s="691"/>
      <c r="K362" s="691"/>
      <c r="L362" s="690">
        <v>40947.52</v>
      </c>
      <c r="M362" s="690">
        <v>30360.32</v>
      </c>
      <c r="N362" s="693">
        <v>10587.2</v>
      </c>
      <c r="O362" s="698">
        <f t="shared" si="21"/>
        <v>880.56</v>
      </c>
      <c r="P362" s="699">
        <f t="shared" si="19"/>
        <v>9780.02</v>
      </c>
      <c r="Q362" s="1050"/>
    </row>
    <row r="363" spans="2:17" ht="68.25" customHeight="1" hidden="1" outlineLevel="4">
      <c r="B363" s="1850" t="s">
        <v>605</v>
      </c>
      <c r="C363" s="1850"/>
      <c r="D363" s="690">
        <v>40443.08</v>
      </c>
      <c r="E363" s="690">
        <v>14031.4</v>
      </c>
      <c r="F363" s="690">
        <v>26411.68</v>
      </c>
      <c r="G363" s="691"/>
      <c r="H363" s="692">
        <v>37.83</v>
      </c>
      <c r="I363" s="691"/>
      <c r="J363" s="691"/>
      <c r="K363" s="691"/>
      <c r="L363" s="690">
        <v>40443.08</v>
      </c>
      <c r="M363" s="690">
        <v>14069.23</v>
      </c>
      <c r="N363" s="693">
        <v>26373.85</v>
      </c>
      <c r="O363" s="698">
        <f t="shared" si="21"/>
        <v>453.96</v>
      </c>
      <c r="P363" s="699">
        <f t="shared" si="19"/>
        <v>25957.72</v>
      </c>
      <c r="Q363" s="1050"/>
    </row>
    <row r="364" spans="2:17" ht="68.25" customHeight="1" hidden="1" outlineLevel="4">
      <c r="B364" s="1850" t="s">
        <v>606</v>
      </c>
      <c r="C364" s="1850"/>
      <c r="D364" s="690">
        <v>38796.16</v>
      </c>
      <c r="E364" s="690">
        <v>28146.98</v>
      </c>
      <c r="F364" s="690">
        <v>10649.18</v>
      </c>
      <c r="G364" s="691"/>
      <c r="H364" s="692">
        <v>75.92</v>
      </c>
      <c r="I364" s="691"/>
      <c r="J364" s="691"/>
      <c r="K364" s="691"/>
      <c r="L364" s="690">
        <v>38796.16</v>
      </c>
      <c r="M364" s="690">
        <v>28222.9</v>
      </c>
      <c r="N364" s="693">
        <v>10573.26</v>
      </c>
      <c r="O364" s="698">
        <f t="shared" si="21"/>
        <v>911.04</v>
      </c>
      <c r="P364" s="699">
        <f t="shared" si="19"/>
        <v>9738.14</v>
      </c>
      <c r="Q364" s="1050"/>
    </row>
    <row r="365" spans="2:17" ht="57" customHeight="1" hidden="1" outlineLevel="4">
      <c r="B365" s="1850" t="s">
        <v>607</v>
      </c>
      <c r="C365" s="1850"/>
      <c r="D365" s="690">
        <v>140580.8</v>
      </c>
      <c r="E365" s="690">
        <v>114733.26</v>
      </c>
      <c r="F365" s="690">
        <v>25847.54</v>
      </c>
      <c r="G365" s="691"/>
      <c r="H365" s="692">
        <v>255.6</v>
      </c>
      <c r="I365" s="691"/>
      <c r="J365" s="691"/>
      <c r="K365" s="691"/>
      <c r="L365" s="690">
        <v>140580.8</v>
      </c>
      <c r="M365" s="690">
        <v>114988.86</v>
      </c>
      <c r="N365" s="693">
        <v>25591.94</v>
      </c>
      <c r="O365" s="698">
        <f t="shared" si="21"/>
        <v>3067.2</v>
      </c>
      <c r="P365" s="699">
        <f t="shared" si="19"/>
        <v>22780.34</v>
      </c>
      <c r="Q365" s="1050"/>
    </row>
    <row r="366" spans="2:17" ht="57" customHeight="1" hidden="1" outlineLevel="4">
      <c r="B366" s="1850" t="s">
        <v>608</v>
      </c>
      <c r="C366" s="1850"/>
      <c r="D366" s="690">
        <v>40596.56</v>
      </c>
      <c r="E366" s="690">
        <v>20224.06</v>
      </c>
      <c r="F366" s="690">
        <v>20372.5</v>
      </c>
      <c r="G366" s="691"/>
      <c r="H366" s="692">
        <v>54.49</v>
      </c>
      <c r="I366" s="691"/>
      <c r="J366" s="691"/>
      <c r="K366" s="691"/>
      <c r="L366" s="690">
        <v>40596.56</v>
      </c>
      <c r="M366" s="690">
        <v>20278.55</v>
      </c>
      <c r="N366" s="693">
        <v>20318.01</v>
      </c>
      <c r="O366" s="698">
        <f t="shared" si="21"/>
        <v>653.88</v>
      </c>
      <c r="P366" s="699">
        <f t="shared" si="19"/>
        <v>19718.62</v>
      </c>
      <c r="Q366" s="1050"/>
    </row>
    <row r="367" spans="2:17" ht="45.75" customHeight="1" hidden="1" outlineLevel="4">
      <c r="B367" s="1850" t="s">
        <v>609</v>
      </c>
      <c r="C367" s="1850"/>
      <c r="D367" s="690">
        <v>24612.75</v>
      </c>
      <c r="E367" s="690">
        <v>12846.48</v>
      </c>
      <c r="F367" s="690">
        <v>11766.27</v>
      </c>
      <c r="G367" s="691"/>
      <c r="H367" s="692">
        <v>34.09</v>
      </c>
      <c r="I367" s="691"/>
      <c r="J367" s="691"/>
      <c r="K367" s="691"/>
      <c r="L367" s="690">
        <v>24612.75</v>
      </c>
      <c r="M367" s="690">
        <v>12880.57</v>
      </c>
      <c r="N367" s="693">
        <v>11732.18</v>
      </c>
      <c r="O367" s="698">
        <f t="shared" si="21"/>
        <v>409.08000000000004</v>
      </c>
      <c r="P367" s="699">
        <f t="shared" si="19"/>
        <v>11357.19</v>
      </c>
      <c r="Q367" s="1050"/>
    </row>
    <row r="368" spans="2:17" ht="68.25" customHeight="1" hidden="1" outlineLevel="4">
      <c r="B368" s="1850" t="s">
        <v>610</v>
      </c>
      <c r="C368" s="1850"/>
      <c r="D368" s="690">
        <v>23513.81</v>
      </c>
      <c r="E368" s="690">
        <v>6927.39</v>
      </c>
      <c r="F368" s="690">
        <v>16586.42</v>
      </c>
      <c r="G368" s="691"/>
      <c r="H368" s="692">
        <v>18.68</v>
      </c>
      <c r="I368" s="691"/>
      <c r="J368" s="691"/>
      <c r="K368" s="691"/>
      <c r="L368" s="690">
        <v>23513.81</v>
      </c>
      <c r="M368" s="690">
        <v>6946.07</v>
      </c>
      <c r="N368" s="693">
        <v>16567.74</v>
      </c>
      <c r="O368" s="698">
        <f t="shared" si="21"/>
        <v>224.16</v>
      </c>
      <c r="P368" s="699">
        <f t="shared" si="19"/>
        <v>16362.259999999998</v>
      </c>
      <c r="Q368" s="1050"/>
    </row>
    <row r="369" spans="2:17" ht="57" customHeight="1" hidden="1" outlineLevel="4">
      <c r="B369" s="1850" t="s">
        <v>611</v>
      </c>
      <c r="C369" s="1850"/>
      <c r="D369" s="690">
        <v>35880</v>
      </c>
      <c r="E369" s="690">
        <v>35880</v>
      </c>
      <c r="F369" s="691"/>
      <c r="G369" s="691"/>
      <c r="H369" s="691"/>
      <c r="I369" s="691"/>
      <c r="J369" s="691"/>
      <c r="K369" s="691"/>
      <c r="L369" s="690">
        <v>35880</v>
      </c>
      <c r="M369" s="690">
        <v>35880</v>
      </c>
      <c r="N369" s="695"/>
      <c r="O369" s="698">
        <f t="shared" si="21"/>
        <v>0</v>
      </c>
      <c r="P369" s="699">
        <f t="shared" si="19"/>
        <v>0</v>
      </c>
      <c r="Q369" s="1050"/>
    </row>
    <row r="370" spans="2:17" ht="68.25" customHeight="1" hidden="1" outlineLevel="4">
      <c r="B370" s="1850" t="s">
        <v>612</v>
      </c>
      <c r="C370" s="1850"/>
      <c r="D370" s="690">
        <v>25584</v>
      </c>
      <c r="E370" s="690">
        <v>12745.3</v>
      </c>
      <c r="F370" s="690">
        <v>12838.7</v>
      </c>
      <c r="G370" s="691"/>
      <c r="H370" s="692">
        <v>34.34</v>
      </c>
      <c r="I370" s="691"/>
      <c r="J370" s="691"/>
      <c r="K370" s="691"/>
      <c r="L370" s="690">
        <v>25584</v>
      </c>
      <c r="M370" s="690">
        <v>12779.64</v>
      </c>
      <c r="N370" s="693">
        <v>12804.36</v>
      </c>
      <c r="O370" s="698">
        <f t="shared" si="21"/>
        <v>412.08000000000004</v>
      </c>
      <c r="P370" s="699">
        <f t="shared" si="19"/>
        <v>12426.62</v>
      </c>
      <c r="Q370" s="1050"/>
    </row>
    <row r="371" spans="2:17" ht="57" customHeight="1" hidden="1" outlineLevel="4">
      <c r="B371" s="1850" t="s">
        <v>613</v>
      </c>
      <c r="C371" s="1850"/>
      <c r="D371" s="690">
        <v>37739.55</v>
      </c>
      <c r="E371" s="690">
        <v>23179.55</v>
      </c>
      <c r="F371" s="690">
        <v>14560</v>
      </c>
      <c r="G371" s="691"/>
      <c r="H371" s="692">
        <v>53.76</v>
      </c>
      <c r="I371" s="691"/>
      <c r="J371" s="691"/>
      <c r="K371" s="691"/>
      <c r="L371" s="690">
        <v>37739.55</v>
      </c>
      <c r="M371" s="690">
        <v>23233.31</v>
      </c>
      <c r="N371" s="693">
        <v>14506.24</v>
      </c>
      <c r="O371" s="698">
        <f t="shared" si="21"/>
        <v>645.12</v>
      </c>
      <c r="P371" s="699">
        <f t="shared" si="19"/>
        <v>13914.88</v>
      </c>
      <c r="Q371" s="1050"/>
    </row>
    <row r="372" spans="2:17" ht="57" customHeight="1" hidden="1" outlineLevel="4">
      <c r="B372" s="1850" t="s">
        <v>614</v>
      </c>
      <c r="C372" s="1850"/>
      <c r="D372" s="690">
        <v>67821.8</v>
      </c>
      <c r="E372" s="690">
        <v>31335.7</v>
      </c>
      <c r="F372" s="690">
        <v>36486.1</v>
      </c>
      <c r="G372" s="691"/>
      <c r="H372" s="692">
        <v>91.65</v>
      </c>
      <c r="I372" s="691"/>
      <c r="J372" s="691"/>
      <c r="K372" s="691"/>
      <c r="L372" s="690">
        <v>67821.8</v>
      </c>
      <c r="M372" s="690">
        <v>31427.35</v>
      </c>
      <c r="N372" s="693">
        <v>36394.45</v>
      </c>
      <c r="O372" s="698">
        <f t="shared" si="21"/>
        <v>1099.8000000000002</v>
      </c>
      <c r="P372" s="699">
        <f t="shared" si="19"/>
        <v>35386.299999999996</v>
      </c>
      <c r="Q372" s="1050"/>
    </row>
    <row r="373" spans="2:17" ht="57" customHeight="1" hidden="1" outlineLevel="4">
      <c r="B373" s="1850" t="s">
        <v>615</v>
      </c>
      <c r="C373" s="1850"/>
      <c r="D373" s="690">
        <v>92981.5</v>
      </c>
      <c r="E373" s="690">
        <v>35959.8</v>
      </c>
      <c r="F373" s="690">
        <v>57021.7</v>
      </c>
      <c r="G373" s="691"/>
      <c r="H373" s="692">
        <v>120.29</v>
      </c>
      <c r="I373" s="691"/>
      <c r="J373" s="691"/>
      <c r="K373" s="691"/>
      <c r="L373" s="690">
        <v>92981.5</v>
      </c>
      <c r="M373" s="690">
        <v>36080.09</v>
      </c>
      <c r="N373" s="693">
        <v>56901.41</v>
      </c>
      <c r="O373" s="698">
        <f t="shared" si="21"/>
        <v>1443.48</v>
      </c>
      <c r="P373" s="699">
        <f t="shared" si="19"/>
        <v>55578.219999999994</v>
      </c>
      <c r="Q373" s="1050"/>
    </row>
    <row r="374" spans="2:17" ht="57" customHeight="1" hidden="1" outlineLevel="4">
      <c r="B374" s="1850" t="s">
        <v>616</v>
      </c>
      <c r="C374" s="1850"/>
      <c r="D374" s="690">
        <v>61258.4</v>
      </c>
      <c r="E374" s="690">
        <v>37425.9</v>
      </c>
      <c r="F374" s="690">
        <v>23832.5</v>
      </c>
      <c r="G374" s="691"/>
      <c r="H374" s="692">
        <v>90.22</v>
      </c>
      <c r="I374" s="691"/>
      <c r="J374" s="691"/>
      <c r="K374" s="691"/>
      <c r="L374" s="690">
        <v>61258.4</v>
      </c>
      <c r="M374" s="690">
        <v>37516.12</v>
      </c>
      <c r="N374" s="693">
        <v>23742.28</v>
      </c>
      <c r="O374" s="698">
        <f t="shared" si="21"/>
        <v>1082.6399999999999</v>
      </c>
      <c r="P374" s="699">
        <f t="shared" si="19"/>
        <v>22749.86</v>
      </c>
      <c r="Q374" s="1050"/>
    </row>
    <row r="375" spans="2:17" ht="57" customHeight="1" hidden="1" outlineLevel="4">
      <c r="B375" s="1850" t="s">
        <v>617</v>
      </c>
      <c r="C375" s="1850"/>
      <c r="D375" s="690">
        <v>54451</v>
      </c>
      <c r="E375" s="690">
        <v>23516.56</v>
      </c>
      <c r="F375" s="690">
        <v>30934.44</v>
      </c>
      <c r="G375" s="691"/>
      <c r="H375" s="692">
        <v>54.56</v>
      </c>
      <c r="I375" s="691"/>
      <c r="J375" s="691"/>
      <c r="K375" s="691"/>
      <c r="L375" s="690">
        <v>54451</v>
      </c>
      <c r="M375" s="690">
        <v>23571.12</v>
      </c>
      <c r="N375" s="693">
        <v>30879.88</v>
      </c>
      <c r="O375" s="698">
        <f t="shared" si="21"/>
        <v>654.72</v>
      </c>
      <c r="P375" s="699">
        <f t="shared" si="19"/>
        <v>30279.719999999998</v>
      </c>
      <c r="Q375" s="1050"/>
    </row>
    <row r="376" spans="2:17" ht="45.75" customHeight="1" hidden="1" outlineLevel="4">
      <c r="B376" s="1850" t="s">
        <v>618</v>
      </c>
      <c r="C376" s="1850"/>
      <c r="D376" s="690">
        <v>34918.88</v>
      </c>
      <c r="E376" s="690">
        <v>24711.12</v>
      </c>
      <c r="F376" s="690">
        <v>10207.76</v>
      </c>
      <c r="G376" s="691"/>
      <c r="H376" s="692">
        <v>62.13</v>
      </c>
      <c r="I376" s="691"/>
      <c r="J376" s="691"/>
      <c r="K376" s="691"/>
      <c r="L376" s="690">
        <v>34918.88</v>
      </c>
      <c r="M376" s="690">
        <v>24773.25</v>
      </c>
      <c r="N376" s="693">
        <v>10145.63</v>
      </c>
      <c r="O376" s="698">
        <f t="shared" si="21"/>
        <v>745.5600000000001</v>
      </c>
      <c r="P376" s="699">
        <f t="shared" si="19"/>
        <v>9462.2</v>
      </c>
      <c r="Q376" s="1050"/>
    </row>
    <row r="377" spans="2:17" ht="45.75" customHeight="1" hidden="1" outlineLevel="4">
      <c r="B377" s="1850" t="s">
        <v>619</v>
      </c>
      <c r="C377" s="1850"/>
      <c r="D377" s="690">
        <v>11480</v>
      </c>
      <c r="E377" s="690">
        <v>8279.49</v>
      </c>
      <c r="F377" s="690">
        <v>3200.51</v>
      </c>
      <c r="G377" s="691"/>
      <c r="H377" s="692">
        <v>25.63</v>
      </c>
      <c r="I377" s="691"/>
      <c r="J377" s="691"/>
      <c r="K377" s="691"/>
      <c r="L377" s="690">
        <v>11480</v>
      </c>
      <c r="M377" s="690">
        <v>8305.12</v>
      </c>
      <c r="N377" s="693">
        <v>3174.88</v>
      </c>
      <c r="O377" s="698">
        <f t="shared" si="21"/>
        <v>307.56</v>
      </c>
      <c r="P377" s="699">
        <f t="shared" si="19"/>
        <v>2892.9500000000003</v>
      </c>
      <c r="Q377" s="1050"/>
    </row>
    <row r="378" spans="2:17" ht="45.75" customHeight="1" hidden="1" outlineLevel="4">
      <c r="B378" s="1850" t="s">
        <v>620</v>
      </c>
      <c r="C378" s="1850"/>
      <c r="D378" s="690">
        <v>202394.4</v>
      </c>
      <c r="E378" s="690">
        <v>38090.63</v>
      </c>
      <c r="F378" s="690">
        <v>164303.77</v>
      </c>
      <c r="G378" s="691"/>
      <c r="H378" s="692">
        <v>540.47</v>
      </c>
      <c r="I378" s="691"/>
      <c r="J378" s="691"/>
      <c r="K378" s="691"/>
      <c r="L378" s="690">
        <v>202394.4</v>
      </c>
      <c r="M378" s="690">
        <v>38631.1</v>
      </c>
      <c r="N378" s="693">
        <v>163763.3</v>
      </c>
      <c r="O378" s="698">
        <f t="shared" si="21"/>
        <v>6485.64</v>
      </c>
      <c r="P378" s="699">
        <f t="shared" si="19"/>
        <v>157818.12999999998</v>
      </c>
      <c r="Q378" s="1050"/>
    </row>
    <row r="379" spans="2:17" ht="68.25" customHeight="1" hidden="1" outlineLevel="4">
      <c r="B379" s="1850" t="s">
        <v>621</v>
      </c>
      <c r="C379" s="1850"/>
      <c r="D379" s="690">
        <v>40012.72</v>
      </c>
      <c r="E379" s="690">
        <v>24285.95</v>
      </c>
      <c r="F379" s="690">
        <v>15726.77</v>
      </c>
      <c r="G379" s="691"/>
      <c r="H379" s="692">
        <v>69.23</v>
      </c>
      <c r="I379" s="691"/>
      <c r="J379" s="691"/>
      <c r="K379" s="691"/>
      <c r="L379" s="690">
        <v>40012.72</v>
      </c>
      <c r="M379" s="690">
        <v>24355.18</v>
      </c>
      <c r="N379" s="693">
        <v>15657.54</v>
      </c>
      <c r="O379" s="698">
        <f t="shared" si="21"/>
        <v>830.76</v>
      </c>
      <c r="P379" s="699">
        <f t="shared" si="19"/>
        <v>14896.01</v>
      </c>
      <c r="Q379" s="1050"/>
    </row>
    <row r="380" spans="2:17" ht="57" customHeight="1" hidden="1" outlineLevel="4">
      <c r="B380" s="1850" t="s">
        <v>622</v>
      </c>
      <c r="C380" s="1850"/>
      <c r="D380" s="690">
        <v>20722.46</v>
      </c>
      <c r="E380" s="690">
        <v>2500.83</v>
      </c>
      <c r="F380" s="690">
        <v>18221.63</v>
      </c>
      <c r="G380" s="691"/>
      <c r="H380" s="692">
        <v>14.37</v>
      </c>
      <c r="I380" s="691"/>
      <c r="J380" s="691"/>
      <c r="K380" s="691"/>
      <c r="L380" s="690">
        <v>20722.46</v>
      </c>
      <c r="M380" s="690">
        <v>2515.2</v>
      </c>
      <c r="N380" s="693">
        <v>18207.26</v>
      </c>
      <c r="O380" s="698">
        <f t="shared" si="21"/>
        <v>172.44</v>
      </c>
      <c r="P380" s="699">
        <f t="shared" si="19"/>
        <v>18049.190000000002</v>
      </c>
      <c r="Q380" s="1050"/>
    </row>
    <row r="381" spans="2:17" ht="68.25" customHeight="1" hidden="1" outlineLevel="4">
      <c r="B381" s="1850" t="s">
        <v>623</v>
      </c>
      <c r="C381" s="1850"/>
      <c r="D381" s="690">
        <v>5736.72</v>
      </c>
      <c r="E381" s="690">
        <v>5736.72</v>
      </c>
      <c r="F381" s="691"/>
      <c r="G381" s="691"/>
      <c r="H381" s="691"/>
      <c r="I381" s="691"/>
      <c r="J381" s="691"/>
      <c r="K381" s="691"/>
      <c r="L381" s="690">
        <v>5736.72</v>
      </c>
      <c r="M381" s="690">
        <v>5736.72</v>
      </c>
      <c r="N381" s="695"/>
      <c r="O381" s="698">
        <f t="shared" si="21"/>
        <v>0</v>
      </c>
      <c r="P381" s="699">
        <f t="shared" si="19"/>
        <v>0</v>
      </c>
      <c r="Q381" s="1050"/>
    </row>
    <row r="382" spans="2:17" ht="45.75" customHeight="1" hidden="1" outlineLevel="4">
      <c r="B382" s="1850" t="s">
        <v>624</v>
      </c>
      <c r="C382" s="1850"/>
      <c r="D382" s="690">
        <v>9908.43</v>
      </c>
      <c r="E382" s="690">
        <v>5990.38</v>
      </c>
      <c r="F382" s="690">
        <v>3918.05</v>
      </c>
      <c r="G382" s="691"/>
      <c r="H382" s="692">
        <v>21.78</v>
      </c>
      <c r="I382" s="691"/>
      <c r="J382" s="691"/>
      <c r="K382" s="691"/>
      <c r="L382" s="690">
        <v>9908.43</v>
      </c>
      <c r="M382" s="690">
        <v>6012.16</v>
      </c>
      <c r="N382" s="693">
        <v>3896.27</v>
      </c>
      <c r="O382" s="698">
        <f t="shared" si="21"/>
        <v>261.36</v>
      </c>
      <c r="P382" s="699">
        <f t="shared" si="19"/>
        <v>3656.69</v>
      </c>
      <c r="Q382" s="1050"/>
    </row>
    <row r="383" spans="2:17" ht="68.25" customHeight="1" hidden="1" outlineLevel="4">
      <c r="B383" s="1850" t="s">
        <v>625</v>
      </c>
      <c r="C383" s="1850"/>
      <c r="D383" s="690">
        <v>8626.4</v>
      </c>
      <c r="E383" s="690">
        <v>8626.4</v>
      </c>
      <c r="F383" s="691"/>
      <c r="G383" s="691"/>
      <c r="H383" s="691"/>
      <c r="I383" s="691"/>
      <c r="J383" s="691"/>
      <c r="K383" s="691"/>
      <c r="L383" s="690">
        <v>8626.4</v>
      </c>
      <c r="M383" s="690">
        <v>8626.4</v>
      </c>
      <c r="N383" s="695"/>
      <c r="O383" s="698">
        <f t="shared" si="21"/>
        <v>0</v>
      </c>
      <c r="P383" s="699">
        <f t="shared" si="19"/>
        <v>0</v>
      </c>
      <c r="Q383" s="1050"/>
    </row>
    <row r="384" spans="2:17" ht="79.5" customHeight="1" hidden="1" outlineLevel="4">
      <c r="B384" s="1850" t="s">
        <v>1078</v>
      </c>
      <c r="C384" s="1850"/>
      <c r="D384" s="690">
        <v>2496.08</v>
      </c>
      <c r="E384" s="690">
        <v>2496.08</v>
      </c>
      <c r="F384" s="691"/>
      <c r="G384" s="691"/>
      <c r="H384" s="691"/>
      <c r="I384" s="691"/>
      <c r="J384" s="691"/>
      <c r="K384" s="691"/>
      <c r="L384" s="690">
        <v>2496.08</v>
      </c>
      <c r="M384" s="690">
        <v>2496.08</v>
      </c>
      <c r="N384" s="695"/>
      <c r="O384" s="698">
        <f t="shared" si="21"/>
        <v>0</v>
      </c>
      <c r="P384" s="699">
        <f t="shared" si="19"/>
        <v>0</v>
      </c>
      <c r="Q384" s="1050"/>
    </row>
    <row r="385" spans="2:17" ht="68.25" customHeight="1" hidden="1" outlineLevel="4">
      <c r="B385" s="1850" t="s">
        <v>1079</v>
      </c>
      <c r="C385" s="1850"/>
      <c r="D385" s="690">
        <v>7357.55</v>
      </c>
      <c r="E385" s="690">
        <v>7357.55</v>
      </c>
      <c r="F385" s="691"/>
      <c r="G385" s="691"/>
      <c r="H385" s="691"/>
      <c r="I385" s="691"/>
      <c r="J385" s="691"/>
      <c r="K385" s="691"/>
      <c r="L385" s="690">
        <v>7357.55</v>
      </c>
      <c r="M385" s="690">
        <v>7357.55</v>
      </c>
      <c r="N385" s="695"/>
      <c r="O385" s="698">
        <f t="shared" si="21"/>
        <v>0</v>
      </c>
      <c r="P385" s="699">
        <f t="shared" si="19"/>
        <v>0</v>
      </c>
      <c r="Q385" s="1050"/>
    </row>
    <row r="386" spans="2:17" ht="68.25" customHeight="1" hidden="1" outlineLevel="4">
      <c r="B386" s="1850" t="s">
        <v>1080</v>
      </c>
      <c r="C386" s="1850"/>
      <c r="D386" s="690">
        <v>61141.7</v>
      </c>
      <c r="E386" s="690">
        <v>16304.31</v>
      </c>
      <c r="F386" s="690">
        <v>44837.39</v>
      </c>
      <c r="G386" s="691"/>
      <c r="H386" s="692">
        <v>214.53</v>
      </c>
      <c r="I386" s="691"/>
      <c r="J386" s="691"/>
      <c r="K386" s="691"/>
      <c r="L386" s="690">
        <v>61141.7</v>
      </c>
      <c r="M386" s="690">
        <v>16518.84</v>
      </c>
      <c r="N386" s="693">
        <v>44622.86</v>
      </c>
      <c r="O386" s="698">
        <f t="shared" si="21"/>
        <v>2574.36</v>
      </c>
      <c r="P386" s="699">
        <f t="shared" si="19"/>
        <v>42263.03</v>
      </c>
      <c r="Q386" s="1050"/>
    </row>
    <row r="387" spans="2:17" ht="68.25" customHeight="1" hidden="1" outlineLevel="4">
      <c r="B387" s="1850" t="s">
        <v>1081</v>
      </c>
      <c r="C387" s="1850"/>
      <c r="D387" s="690">
        <v>41948.54</v>
      </c>
      <c r="E387" s="690">
        <v>9963.03</v>
      </c>
      <c r="F387" s="690">
        <v>31985.51</v>
      </c>
      <c r="G387" s="691"/>
      <c r="H387" s="692">
        <v>174.79</v>
      </c>
      <c r="I387" s="691"/>
      <c r="J387" s="691"/>
      <c r="K387" s="691"/>
      <c r="L387" s="690">
        <v>41948.54</v>
      </c>
      <c r="M387" s="690">
        <v>10137.82</v>
      </c>
      <c r="N387" s="693">
        <v>31810.72</v>
      </c>
      <c r="O387" s="698">
        <f t="shared" si="21"/>
        <v>2097.48</v>
      </c>
      <c r="P387" s="699">
        <f t="shared" si="19"/>
        <v>29888.03</v>
      </c>
      <c r="Q387" s="1050"/>
    </row>
    <row r="388" spans="2:17" ht="79.5" customHeight="1" hidden="1" outlineLevel="4">
      <c r="B388" s="1850" t="s">
        <v>1082</v>
      </c>
      <c r="C388" s="1850"/>
      <c r="D388" s="690">
        <v>5313.6</v>
      </c>
      <c r="E388" s="690">
        <v>5313.6</v>
      </c>
      <c r="F388" s="691"/>
      <c r="G388" s="691"/>
      <c r="H388" s="691"/>
      <c r="I388" s="691"/>
      <c r="J388" s="691"/>
      <c r="K388" s="691"/>
      <c r="L388" s="690">
        <v>5313.6</v>
      </c>
      <c r="M388" s="690">
        <v>5313.6</v>
      </c>
      <c r="N388" s="695"/>
      <c r="O388" s="698">
        <f t="shared" si="21"/>
        <v>0</v>
      </c>
      <c r="P388" s="699">
        <f t="shared" si="19"/>
        <v>0</v>
      </c>
      <c r="Q388" s="1050"/>
    </row>
    <row r="389" spans="2:17" ht="57" customHeight="1" hidden="1" outlineLevel="4">
      <c r="B389" s="1850" t="s">
        <v>1083</v>
      </c>
      <c r="C389" s="1850"/>
      <c r="D389" s="690">
        <v>1790.73</v>
      </c>
      <c r="E389" s="690">
        <v>1790.73</v>
      </c>
      <c r="F389" s="691"/>
      <c r="G389" s="691"/>
      <c r="H389" s="691"/>
      <c r="I389" s="691"/>
      <c r="J389" s="691"/>
      <c r="K389" s="691"/>
      <c r="L389" s="690">
        <v>1790.73</v>
      </c>
      <c r="M389" s="690">
        <v>1790.73</v>
      </c>
      <c r="N389" s="695"/>
      <c r="O389" s="698">
        <f t="shared" si="21"/>
        <v>0</v>
      </c>
      <c r="P389" s="699">
        <f t="shared" si="19"/>
        <v>0</v>
      </c>
      <c r="Q389" s="1050"/>
    </row>
    <row r="390" spans="2:17" ht="57" customHeight="1" hidden="1" outlineLevel="4">
      <c r="B390" s="1850" t="s">
        <v>1084</v>
      </c>
      <c r="C390" s="1850"/>
      <c r="D390" s="690">
        <v>6371.87</v>
      </c>
      <c r="E390" s="690">
        <v>6371.87</v>
      </c>
      <c r="F390" s="691"/>
      <c r="G390" s="691"/>
      <c r="H390" s="691"/>
      <c r="I390" s="691"/>
      <c r="J390" s="691"/>
      <c r="K390" s="691"/>
      <c r="L390" s="690">
        <v>6371.87</v>
      </c>
      <c r="M390" s="690">
        <v>6371.87</v>
      </c>
      <c r="N390" s="695"/>
      <c r="O390" s="698">
        <f t="shared" si="21"/>
        <v>0</v>
      </c>
      <c r="P390" s="699">
        <f t="shared" si="19"/>
        <v>0</v>
      </c>
      <c r="Q390" s="1050"/>
    </row>
    <row r="391" spans="2:17" ht="68.25" customHeight="1" hidden="1" outlineLevel="4">
      <c r="B391" s="1850" t="s">
        <v>1085</v>
      </c>
      <c r="C391" s="1850"/>
      <c r="D391" s="690">
        <v>203000</v>
      </c>
      <c r="E391" s="690">
        <v>140440.29</v>
      </c>
      <c r="F391" s="690">
        <v>62559.71</v>
      </c>
      <c r="G391" s="691"/>
      <c r="H391" s="690">
        <v>1276.73</v>
      </c>
      <c r="I391" s="691"/>
      <c r="J391" s="691"/>
      <c r="K391" s="691"/>
      <c r="L391" s="690">
        <v>203000</v>
      </c>
      <c r="M391" s="690">
        <v>141717.02</v>
      </c>
      <c r="N391" s="693">
        <v>61282.98</v>
      </c>
      <c r="O391" s="698">
        <f t="shared" si="21"/>
        <v>15320.76</v>
      </c>
      <c r="P391" s="699">
        <f t="shared" si="19"/>
        <v>47238.95</v>
      </c>
      <c r="Q391" s="1050"/>
    </row>
    <row r="392" spans="2:17" ht="79.5" customHeight="1" hidden="1" outlineLevel="4">
      <c r="B392" s="1850" t="s">
        <v>1086</v>
      </c>
      <c r="C392" s="1850"/>
      <c r="D392" s="690">
        <v>18978.66</v>
      </c>
      <c r="E392" s="690">
        <v>6010.08</v>
      </c>
      <c r="F392" s="690">
        <v>12968.58</v>
      </c>
      <c r="G392" s="691"/>
      <c r="H392" s="692">
        <v>105.44</v>
      </c>
      <c r="I392" s="691"/>
      <c r="J392" s="691"/>
      <c r="K392" s="691"/>
      <c r="L392" s="690">
        <v>18978.66</v>
      </c>
      <c r="M392" s="690">
        <v>6115.52</v>
      </c>
      <c r="N392" s="693">
        <v>12863.14</v>
      </c>
      <c r="O392" s="698">
        <f t="shared" si="21"/>
        <v>1265.28</v>
      </c>
      <c r="P392" s="699">
        <f t="shared" si="19"/>
        <v>11703.3</v>
      </c>
      <c r="Q392" s="1050"/>
    </row>
    <row r="393" spans="2:17" ht="34.5" customHeight="1" hidden="1" outlineLevel="4">
      <c r="B393" s="1850" t="s">
        <v>1087</v>
      </c>
      <c r="C393" s="1850"/>
      <c r="D393" s="690">
        <v>438264.97</v>
      </c>
      <c r="E393" s="690">
        <v>40032.12</v>
      </c>
      <c r="F393" s="690">
        <v>398232.85</v>
      </c>
      <c r="G393" s="691"/>
      <c r="H393" s="692">
        <v>554.64</v>
      </c>
      <c r="I393" s="691"/>
      <c r="J393" s="691"/>
      <c r="K393" s="691"/>
      <c r="L393" s="690">
        <v>438264.97</v>
      </c>
      <c r="M393" s="690">
        <v>40586.76</v>
      </c>
      <c r="N393" s="693">
        <v>397678.21</v>
      </c>
      <c r="O393" s="698">
        <f t="shared" si="21"/>
        <v>6655.68</v>
      </c>
      <c r="P393" s="699">
        <f t="shared" si="19"/>
        <v>391577.17</v>
      </c>
      <c r="Q393" s="1050"/>
    </row>
    <row r="394" spans="2:17" ht="23.25" customHeight="1" hidden="1" outlineLevel="4">
      <c r="B394" s="1850" t="s">
        <v>1088</v>
      </c>
      <c r="C394" s="1850"/>
      <c r="D394" s="690">
        <v>2781100.48</v>
      </c>
      <c r="E394" s="690">
        <v>1572143.02</v>
      </c>
      <c r="F394" s="690">
        <v>1208957.46</v>
      </c>
      <c r="G394" s="691"/>
      <c r="H394" s="690">
        <v>5037.32</v>
      </c>
      <c r="I394" s="691"/>
      <c r="J394" s="691"/>
      <c r="K394" s="691"/>
      <c r="L394" s="690">
        <v>2781100.48</v>
      </c>
      <c r="M394" s="690">
        <v>1577180.34</v>
      </c>
      <c r="N394" s="693">
        <v>1203920.14</v>
      </c>
      <c r="O394" s="698">
        <f t="shared" si="21"/>
        <v>60447.84</v>
      </c>
      <c r="P394" s="699">
        <f t="shared" si="19"/>
        <v>1148509.6199999999</v>
      </c>
      <c r="Q394" s="1050"/>
    </row>
    <row r="395" spans="2:17" ht="23.25" customHeight="1" hidden="1" outlineLevel="4">
      <c r="B395" s="1850" t="s">
        <v>1089</v>
      </c>
      <c r="C395" s="1850"/>
      <c r="D395" s="690">
        <v>19160</v>
      </c>
      <c r="E395" s="690">
        <v>8602.56</v>
      </c>
      <c r="F395" s="690">
        <v>10557.44</v>
      </c>
      <c r="G395" s="691"/>
      <c r="H395" s="692">
        <v>40</v>
      </c>
      <c r="I395" s="691"/>
      <c r="J395" s="691"/>
      <c r="K395" s="691"/>
      <c r="L395" s="690">
        <v>19160</v>
      </c>
      <c r="M395" s="690">
        <v>8642.56</v>
      </c>
      <c r="N395" s="693">
        <v>10517.44</v>
      </c>
      <c r="O395" s="698">
        <f t="shared" si="21"/>
        <v>480</v>
      </c>
      <c r="P395" s="699">
        <f t="shared" si="19"/>
        <v>10077.44</v>
      </c>
      <c r="Q395" s="1050"/>
    </row>
    <row r="396" spans="2:17" ht="23.25" customHeight="1" hidden="1" outlineLevel="4">
      <c r="B396" s="1850" t="s">
        <v>688</v>
      </c>
      <c r="C396" s="1850"/>
      <c r="D396" s="690">
        <v>204573.6</v>
      </c>
      <c r="E396" s="690">
        <v>139110.05</v>
      </c>
      <c r="F396" s="690">
        <v>65463.55</v>
      </c>
      <c r="G396" s="691"/>
      <c r="H396" s="692">
        <v>299.08</v>
      </c>
      <c r="I396" s="691"/>
      <c r="J396" s="691"/>
      <c r="K396" s="691"/>
      <c r="L396" s="690">
        <v>204573.6</v>
      </c>
      <c r="M396" s="690">
        <v>139409.13</v>
      </c>
      <c r="N396" s="693">
        <v>65164.47</v>
      </c>
      <c r="O396" s="698">
        <f t="shared" si="21"/>
        <v>3588.96</v>
      </c>
      <c r="P396" s="699">
        <f aca="true" t="shared" si="22" ref="P396:P459">F396-O396</f>
        <v>61874.590000000004</v>
      </c>
      <c r="Q396" s="1050"/>
    </row>
    <row r="397" spans="2:17" ht="23.25" customHeight="1" hidden="1" outlineLevel="4">
      <c r="B397" s="1850" t="s">
        <v>689</v>
      </c>
      <c r="C397" s="1850"/>
      <c r="D397" s="690">
        <v>204573.6</v>
      </c>
      <c r="E397" s="690">
        <v>139110.05</v>
      </c>
      <c r="F397" s="690">
        <v>65463.55</v>
      </c>
      <c r="G397" s="691"/>
      <c r="H397" s="692">
        <v>299.08</v>
      </c>
      <c r="I397" s="691"/>
      <c r="J397" s="691"/>
      <c r="K397" s="691"/>
      <c r="L397" s="690">
        <v>204573.6</v>
      </c>
      <c r="M397" s="690">
        <v>139409.13</v>
      </c>
      <c r="N397" s="693">
        <v>65164.47</v>
      </c>
      <c r="O397" s="698">
        <f t="shared" si="21"/>
        <v>3588.96</v>
      </c>
      <c r="P397" s="699">
        <f t="shared" si="22"/>
        <v>61874.590000000004</v>
      </c>
      <c r="Q397" s="1050"/>
    </row>
    <row r="398" spans="2:17" ht="57" customHeight="1" hidden="1" outlineLevel="4">
      <c r="B398" s="1850" t="s">
        <v>690</v>
      </c>
      <c r="C398" s="1850"/>
      <c r="D398" s="690">
        <v>26986</v>
      </c>
      <c r="E398" s="690">
        <v>12934.29</v>
      </c>
      <c r="F398" s="690">
        <v>14051.71</v>
      </c>
      <c r="G398" s="691"/>
      <c r="H398" s="692">
        <v>47.01</v>
      </c>
      <c r="I398" s="691"/>
      <c r="J398" s="691"/>
      <c r="K398" s="691"/>
      <c r="L398" s="690">
        <v>26986</v>
      </c>
      <c r="M398" s="690">
        <v>12981.3</v>
      </c>
      <c r="N398" s="693">
        <v>14004.7</v>
      </c>
      <c r="O398" s="698">
        <f t="shared" si="21"/>
        <v>564.12</v>
      </c>
      <c r="P398" s="699">
        <f t="shared" si="22"/>
        <v>13487.589999999998</v>
      </c>
      <c r="Q398" s="1050"/>
    </row>
    <row r="399" spans="2:17" ht="57" customHeight="1" hidden="1" outlineLevel="4">
      <c r="B399" s="1850" t="s">
        <v>691</v>
      </c>
      <c r="C399" s="1850"/>
      <c r="D399" s="690">
        <v>22640</v>
      </c>
      <c r="E399" s="690">
        <v>10505.65</v>
      </c>
      <c r="F399" s="690">
        <v>12134.35</v>
      </c>
      <c r="G399" s="691"/>
      <c r="H399" s="692">
        <v>38.18</v>
      </c>
      <c r="I399" s="691"/>
      <c r="J399" s="691"/>
      <c r="K399" s="691"/>
      <c r="L399" s="690">
        <v>22640</v>
      </c>
      <c r="M399" s="690">
        <v>10543.83</v>
      </c>
      <c r="N399" s="693">
        <v>12096.17</v>
      </c>
      <c r="O399" s="698">
        <f t="shared" si="21"/>
        <v>458.15999999999997</v>
      </c>
      <c r="P399" s="699">
        <f t="shared" si="22"/>
        <v>11676.19</v>
      </c>
      <c r="Q399" s="1050"/>
    </row>
    <row r="400" spans="2:17" ht="57" customHeight="1" hidden="1" outlineLevel="4">
      <c r="B400" s="1850" t="s">
        <v>692</v>
      </c>
      <c r="C400" s="1850"/>
      <c r="D400" s="690">
        <v>58056</v>
      </c>
      <c r="E400" s="690">
        <v>39478.24</v>
      </c>
      <c r="F400" s="690">
        <v>18577.76</v>
      </c>
      <c r="G400" s="691"/>
      <c r="H400" s="692">
        <v>84.88</v>
      </c>
      <c r="I400" s="691"/>
      <c r="J400" s="691"/>
      <c r="K400" s="691"/>
      <c r="L400" s="690">
        <v>58056</v>
      </c>
      <c r="M400" s="690">
        <v>39563.12</v>
      </c>
      <c r="N400" s="693">
        <v>18492.88</v>
      </c>
      <c r="O400" s="698">
        <f t="shared" si="21"/>
        <v>1018.56</v>
      </c>
      <c r="P400" s="699">
        <f t="shared" si="22"/>
        <v>17559.199999999997</v>
      </c>
      <c r="Q400" s="1050"/>
    </row>
    <row r="401" spans="2:17" ht="23.25" customHeight="1" hidden="1" outlineLevel="4">
      <c r="B401" s="1850" t="s">
        <v>693</v>
      </c>
      <c r="C401" s="1850"/>
      <c r="D401" s="690">
        <v>893740.83</v>
      </c>
      <c r="E401" s="690">
        <v>171507.94</v>
      </c>
      <c r="F401" s="690">
        <v>722232.89</v>
      </c>
      <c r="G401" s="691"/>
      <c r="H401" s="690">
        <v>1089.34</v>
      </c>
      <c r="I401" s="691"/>
      <c r="J401" s="691"/>
      <c r="K401" s="691"/>
      <c r="L401" s="690">
        <v>893740.83</v>
      </c>
      <c r="M401" s="690">
        <v>172597.28</v>
      </c>
      <c r="N401" s="693">
        <v>721143.55</v>
      </c>
      <c r="O401" s="698">
        <f t="shared" si="21"/>
        <v>13072.079999999998</v>
      </c>
      <c r="P401" s="699">
        <f t="shared" si="22"/>
        <v>709160.81</v>
      </c>
      <c r="Q401" s="1050"/>
    </row>
    <row r="402" spans="2:17" ht="23.25" customHeight="1" hidden="1" outlineLevel="4">
      <c r="B402" s="1850" t="s">
        <v>694</v>
      </c>
      <c r="C402" s="1850"/>
      <c r="D402" s="690">
        <v>236438.8</v>
      </c>
      <c r="E402" s="690">
        <v>160777.97</v>
      </c>
      <c r="F402" s="690">
        <v>75660.83</v>
      </c>
      <c r="G402" s="691"/>
      <c r="H402" s="692">
        <v>345.67</v>
      </c>
      <c r="I402" s="691"/>
      <c r="J402" s="691"/>
      <c r="K402" s="691"/>
      <c r="L402" s="690">
        <v>236438.8</v>
      </c>
      <c r="M402" s="690">
        <v>161123.64</v>
      </c>
      <c r="N402" s="693">
        <v>75315.16</v>
      </c>
      <c r="O402" s="698">
        <f t="shared" si="21"/>
        <v>4148.04</v>
      </c>
      <c r="P402" s="699">
        <f t="shared" si="22"/>
        <v>71512.79000000001</v>
      </c>
      <c r="Q402" s="1050"/>
    </row>
    <row r="403" spans="2:17" ht="23.25" customHeight="1" hidden="1" outlineLevel="4">
      <c r="B403" s="1850" t="s">
        <v>695</v>
      </c>
      <c r="C403" s="1850"/>
      <c r="D403" s="690">
        <v>236438.8</v>
      </c>
      <c r="E403" s="690">
        <v>160777.97</v>
      </c>
      <c r="F403" s="690">
        <v>75660.83</v>
      </c>
      <c r="G403" s="691"/>
      <c r="H403" s="692">
        <v>345.67</v>
      </c>
      <c r="I403" s="691"/>
      <c r="J403" s="691"/>
      <c r="K403" s="691"/>
      <c r="L403" s="690">
        <v>236438.8</v>
      </c>
      <c r="M403" s="690">
        <v>161123.64</v>
      </c>
      <c r="N403" s="693">
        <v>75315.16</v>
      </c>
      <c r="O403" s="698">
        <f t="shared" si="21"/>
        <v>4148.04</v>
      </c>
      <c r="P403" s="699">
        <f t="shared" si="22"/>
        <v>71512.79000000001</v>
      </c>
      <c r="Q403" s="1050"/>
    </row>
    <row r="404" spans="2:17" ht="23.25" customHeight="1" hidden="1" outlineLevel="4">
      <c r="B404" s="1850" t="s">
        <v>696</v>
      </c>
      <c r="C404" s="1850"/>
      <c r="D404" s="690">
        <v>236438.8</v>
      </c>
      <c r="E404" s="690">
        <v>160777.97</v>
      </c>
      <c r="F404" s="690">
        <v>75660.83</v>
      </c>
      <c r="G404" s="691"/>
      <c r="H404" s="692">
        <v>345.67</v>
      </c>
      <c r="I404" s="691"/>
      <c r="J404" s="691"/>
      <c r="K404" s="691"/>
      <c r="L404" s="690">
        <v>236438.8</v>
      </c>
      <c r="M404" s="690">
        <v>161123.64</v>
      </c>
      <c r="N404" s="693">
        <v>75315.16</v>
      </c>
      <c r="O404" s="698">
        <f t="shared" si="21"/>
        <v>4148.04</v>
      </c>
      <c r="P404" s="699">
        <f t="shared" si="22"/>
        <v>71512.79000000001</v>
      </c>
      <c r="Q404" s="1050"/>
    </row>
    <row r="405" spans="2:17" ht="23.25" customHeight="1" hidden="1" outlineLevel="4">
      <c r="B405" s="1850" t="s">
        <v>697</v>
      </c>
      <c r="C405" s="1850"/>
      <c r="D405" s="690">
        <v>236438.8</v>
      </c>
      <c r="E405" s="690">
        <v>160777.99</v>
      </c>
      <c r="F405" s="690">
        <v>75660.81</v>
      </c>
      <c r="G405" s="691"/>
      <c r="H405" s="692">
        <v>345.67</v>
      </c>
      <c r="I405" s="691"/>
      <c r="J405" s="691"/>
      <c r="K405" s="691"/>
      <c r="L405" s="690">
        <v>236438.8</v>
      </c>
      <c r="M405" s="690">
        <v>161123.66</v>
      </c>
      <c r="N405" s="693">
        <v>75315.14</v>
      </c>
      <c r="O405" s="698">
        <f t="shared" si="21"/>
        <v>4148.04</v>
      </c>
      <c r="P405" s="699">
        <f t="shared" si="22"/>
        <v>71512.77</v>
      </c>
      <c r="Q405" s="1050"/>
    </row>
    <row r="406" spans="2:17" ht="57" customHeight="1" hidden="1" outlineLevel="4">
      <c r="B406" s="1850" t="s">
        <v>698</v>
      </c>
      <c r="C406" s="1850"/>
      <c r="D406" s="690">
        <v>125423.73</v>
      </c>
      <c r="E406" s="690">
        <v>108637.37</v>
      </c>
      <c r="F406" s="690">
        <v>16786.36</v>
      </c>
      <c r="G406" s="691"/>
      <c r="H406" s="692">
        <v>883.27</v>
      </c>
      <c r="I406" s="691"/>
      <c r="J406" s="691"/>
      <c r="K406" s="691"/>
      <c r="L406" s="690">
        <v>125423.73</v>
      </c>
      <c r="M406" s="690">
        <v>109520.64</v>
      </c>
      <c r="N406" s="693">
        <v>15903.09</v>
      </c>
      <c r="O406" s="698">
        <f t="shared" si="21"/>
        <v>10599.24</v>
      </c>
      <c r="P406" s="699">
        <f t="shared" si="22"/>
        <v>6187.120000000001</v>
      </c>
      <c r="Q406" s="1050"/>
    </row>
    <row r="407" spans="2:17" ht="34.5" customHeight="1" hidden="1" outlineLevel="4">
      <c r="B407" s="1850" t="s">
        <v>699</v>
      </c>
      <c r="C407" s="1850"/>
      <c r="D407" s="690">
        <v>39780.74</v>
      </c>
      <c r="E407" s="690">
        <v>12273.1</v>
      </c>
      <c r="F407" s="690">
        <v>27507.64</v>
      </c>
      <c r="G407" s="691"/>
      <c r="H407" s="692">
        <v>56.83</v>
      </c>
      <c r="I407" s="691"/>
      <c r="J407" s="691"/>
      <c r="K407" s="691"/>
      <c r="L407" s="690">
        <v>39780.74</v>
      </c>
      <c r="M407" s="690">
        <v>12329.93</v>
      </c>
      <c r="N407" s="693">
        <v>27450.81</v>
      </c>
      <c r="O407" s="698">
        <f t="shared" si="21"/>
        <v>681.96</v>
      </c>
      <c r="P407" s="699">
        <f t="shared" si="22"/>
        <v>26825.68</v>
      </c>
      <c r="Q407" s="1050"/>
    </row>
    <row r="408" spans="2:17" ht="34.5" customHeight="1" hidden="1" outlineLevel="4">
      <c r="B408" s="1850" t="s">
        <v>700</v>
      </c>
      <c r="C408" s="1850"/>
      <c r="D408" s="690">
        <v>39780.74</v>
      </c>
      <c r="E408" s="690">
        <v>12273.1</v>
      </c>
      <c r="F408" s="690">
        <v>27507.64</v>
      </c>
      <c r="G408" s="691"/>
      <c r="H408" s="692">
        <v>56.83</v>
      </c>
      <c r="I408" s="691"/>
      <c r="J408" s="691"/>
      <c r="K408" s="691"/>
      <c r="L408" s="690">
        <v>39780.74</v>
      </c>
      <c r="M408" s="690">
        <v>12329.93</v>
      </c>
      <c r="N408" s="693">
        <v>27450.81</v>
      </c>
      <c r="O408" s="698">
        <f t="shared" si="21"/>
        <v>681.96</v>
      </c>
      <c r="P408" s="699">
        <f t="shared" si="22"/>
        <v>26825.68</v>
      </c>
      <c r="Q408" s="1050"/>
    </row>
    <row r="409" spans="2:17" ht="34.5" customHeight="1" hidden="1" outlineLevel="4">
      <c r="B409" s="1850" t="s">
        <v>701</v>
      </c>
      <c r="C409" s="1850"/>
      <c r="D409" s="690">
        <v>39780.74</v>
      </c>
      <c r="E409" s="690">
        <v>12273.1</v>
      </c>
      <c r="F409" s="690">
        <v>27507.64</v>
      </c>
      <c r="G409" s="691"/>
      <c r="H409" s="692">
        <v>56.83</v>
      </c>
      <c r="I409" s="691"/>
      <c r="J409" s="691"/>
      <c r="K409" s="691"/>
      <c r="L409" s="690">
        <v>39780.74</v>
      </c>
      <c r="M409" s="690">
        <v>12329.93</v>
      </c>
      <c r="N409" s="693">
        <v>27450.81</v>
      </c>
      <c r="O409" s="698">
        <f t="shared" si="21"/>
        <v>681.96</v>
      </c>
      <c r="P409" s="699">
        <f t="shared" si="22"/>
        <v>26825.68</v>
      </c>
      <c r="Q409" s="1050"/>
    </row>
    <row r="410" spans="2:17" ht="34.5" customHeight="1" hidden="1" outlineLevel="4">
      <c r="B410" s="1850" t="s">
        <v>702</v>
      </c>
      <c r="C410" s="1850"/>
      <c r="D410" s="690">
        <v>39780.77</v>
      </c>
      <c r="E410" s="690">
        <v>12273.1</v>
      </c>
      <c r="F410" s="690">
        <v>27507.67</v>
      </c>
      <c r="G410" s="691"/>
      <c r="H410" s="692">
        <v>56.83</v>
      </c>
      <c r="I410" s="691"/>
      <c r="J410" s="691"/>
      <c r="K410" s="691"/>
      <c r="L410" s="690">
        <v>39780.77</v>
      </c>
      <c r="M410" s="690">
        <v>12329.93</v>
      </c>
      <c r="N410" s="693">
        <v>27450.84</v>
      </c>
      <c r="O410" s="698">
        <f t="shared" si="21"/>
        <v>681.96</v>
      </c>
      <c r="P410" s="699">
        <f t="shared" si="22"/>
        <v>26825.71</v>
      </c>
      <c r="Q410" s="1050"/>
    </row>
    <row r="411" spans="2:17" ht="45.75" customHeight="1" hidden="1" outlineLevel="4">
      <c r="B411" s="1850" t="s">
        <v>703</v>
      </c>
      <c r="C411" s="1850"/>
      <c r="D411" s="690">
        <v>321554.8</v>
      </c>
      <c r="E411" s="690">
        <v>273334.04</v>
      </c>
      <c r="F411" s="690">
        <v>48220.76</v>
      </c>
      <c r="G411" s="691"/>
      <c r="H411" s="692">
        <v>587.85</v>
      </c>
      <c r="I411" s="691"/>
      <c r="J411" s="691"/>
      <c r="K411" s="691"/>
      <c r="L411" s="690">
        <v>321554.8</v>
      </c>
      <c r="M411" s="690">
        <v>273921.89</v>
      </c>
      <c r="N411" s="693">
        <v>47632.91</v>
      </c>
      <c r="O411" s="698">
        <f t="shared" si="21"/>
        <v>7054.200000000001</v>
      </c>
      <c r="P411" s="699">
        <f t="shared" si="22"/>
        <v>41166.56</v>
      </c>
      <c r="Q411" s="1050"/>
    </row>
    <row r="412" spans="2:17" ht="57" customHeight="1" hidden="1" outlineLevel="4">
      <c r="B412" s="1850" t="s">
        <v>0</v>
      </c>
      <c r="C412" s="1850"/>
      <c r="D412" s="690">
        <v>15238</v>
      </c>
      <c r="E412" s="690">
        <v>9551.1</v>
      </c>
      <c r="F412" s="690">
        <v>5686.9</v>
      </c>
      <c r="G412" s="691"/>
      <c r="H412" s="692">
        <v>34.71</v>
      </c>
      <c r="I412" s="691"/>
      <c r="J412" s="691"/>
      <c r="K412" s="691"/>
      <c r="L412" s="690">
        <v>15238</v>
      </c>
      <c r="M412" s="690">
        <v>9585.81</v>
      </c>
      <c r="N412" s="693">
        <v>5652.19</v>
      </c>
      <c r="O412" s="698">
        <f t="shared" si="21"/>
        <v>416.52</v>
      </c>
      <c r="P412" s="699">
        <f t="shared" si="22"/>
        <v>5270.379999999999</v>
      </c>
      <c r="Q412" s="1050"/>
    </row>
    <row r="413" spans="2:17" ht="57" customHeight="1" hidden="1" outlineLevel="4">
      <c r="B413" s="1850" t="s">
        <v>1</v>
      </c>
      <c r="C413" s="1850"/>
      <c r="D413" s="690">
        <v>43016</v>
      </c>
      <c r="E413" s="690">
        <v>26961.92</v>
      </c>
      <c r="F413" s="690">
        <v>16054.08</v>
      </c>
      <c r="G413" s="691"/>
      <c r="H413" s="692">
        <v>97.99</v>
      </c>
      <c r="I413" s="691"/>
      <c r="J413" s="691"/>
      <c r="K413" s="691"/>
      <c r="L413" s="690">
        <v>43016</v>
      </c>
      <c r="M413" s="690">
        <v>27059.91</v>
      </c>
      <c r="N413" s="693">
        <v>15956.09</v>
      </c>
      <c r="O413" s="698">
        <f t="shared" si="21"/>
        <v>1175.8799999999999</v>
      </c>
      <c r="P413" s="699">
        <f t="shared" si="22"/>
        <v>14878.2</v>
      </c>
      <c r="Q413" s="1050"/>
    </row>
    <row r="414" spans="2:17" ht="68.25" customHeight="1" hidden="1" outlineLevel="4">
      <c r="B414" s="1850" t="s">
        <v>2</v>
      </c>
      <c r="C414" s="1850"/>
      <c r="D414" s="690">
        <v>117408.25</v>
      </c>
      <c r="E414" s="690">
        <v>117408.25</v>
      </c>
      <c r="F414" s="691"/>
      <c r="G414" s="691"/>
      <c r="H414" s="691"/>
      <c r="I414" s="691"/>
      <c r="J414" s="691"/>
      <c r="K414" s="691"/>
      <c r="L414" s="690">
        <v>117408.25</v>
      </c>
      <c r="M414" s="690">
        <v>117408.25</v>
      </c>
      <c r="N414" s="695"/>
      <c r="O414" s="698">
        <f t="shared" si="21"/>
        <v>0</v>
      </c>
      <c r="P414" s="699">
        <f t="shared" si="22"/>
        <v>0</v>
      </c>
      <c r="Q414" s="1050"/>
    </row>
    <row r="415" spans="2:17" ht="23.25" customHeight="1" hidden="1" outlineLevel="4">
      <c r="B415" s="1850" t="s">
        <v>3</v>
      </c>
      <c r="C415" s="1850"/>
      <c r="D415" s="690">
        <v>143542.64</v>
      </c>
      <c r="E415" s="690">
        <v>70292.65</v>
      </c>
      <c r="F415" s="690">
        <v>73249.99</v>
      </c>
      <c r="G415" s="691"/>
      <c r="H415" s="692">
        <v>217.49</v>
      </c>
      <c r="I415" s="691"/>
      <c r="J415" s="691"/>
      <c r="K415" s="691"/>
      <c r="L415" s="690">
        <v>143542.64</v>
      </c>
      <c r="M415" s="690">
        <v>70510.14</v>
      </c>
      <c r="N415" s="693">
        <v>73032.5</v>
      </c>
      <c r="O415" s="698">
        <f t="shared" si="21"/>
        <v>2609.88</v>
      </c>
      <c r="P415" s="699">
        <f t="shared" si="22"/>
        <v>70640.11</v>
      </c>
      <c r="Q415" s="1050"/>
    </row>
    <row r="416" spans="2:17" ht="23.25" customHeight="1" hidden="1" outlineLevel="4">
      <c r="B416" s="1850" t="s">
        <v>4</v>
      </c>
      <c r="C416" s="1850"/>
      <c r="D416" s="690">
        <v>66075.6</v>
      </c>
      <c r="E416" s="690">
        <v>66075.6</v>
      </c>
      <c r="F416" s="691"/>
      <c r="G416" s="691"/>
      <c r="H416" s="691"/>
      <c r="I416" s="691"/>
      <c r="J416" s="691"/>
      <c r="K416" s="691"/>
      <c r="L416" s="690">
        <v>66075.6</v>
      </c>
      <c r="M416" s="690">
        <v>66075.6</v>
      </c>
      <c r="N416" s="695"/>
      <c r="O416" s="698">
        <f t="shared" si="21"/>
        <v>0</v>
      </c>
      <c r="P416" s="699">
        <f t="shared" si="22"/>
        <v>0</v>
      </c>
      <c r="Q416" s="1050"/>
    </row>
    <row r="417" spans="2:17" ht="45.75" customHeight="1" hidden="1" outlineLevel="4">
      <c r="B417" s="1850" t="s">
        <v>5</v>
      </c>
      <c r="C417" s="1850"/>
      <c r="D417" s="690">
        <v>82847.78</v>
      </c>
      <c r="E417" s="690">
        <v>46072.39</v>
      </c>
      <c r="F417" s="690">
        <v>36775.39</v>
      </c>
      <c r="G417" s="691"/>
      <c r="H417" s="692">
        <v>99.1</v>
      </c>
      <c r="I417" s="691"/>
      <c r="J417" s="691"/>
      <c r="K417" s="691"/>
      <c r="L417" s="690">
        <v>82847.78</v>
      </c>
      <c r="M417" s="690">
        <v>46171.49</v>
      </c>
      <c r="N417" s="693">
        <v>36676.29</v>
      </c>
      <c r="O417" s="698">
        <f aca="true" t="shared" si="23" ref="O417:O480">H417*12</f>
        <v>1189.1999999999998</v>
      </c>
      <c r="P417" s="699">
        <f t="shared" si="22"/>
        <v>35586.19</v>
      </c>
      <c r="Q417" s="1050"/>
    </row>
    <row r="418" spans="2:17" ht="34.5" customHeight="1" hidden="1" outlineLevel="4">
      <c r="B418" s="1850" t="s">
        <v>6</v>
      </c>
      <c r="C418" s="1850"/>
      <c r="D418" s="690">
        <v>450000</v>
      </c>
      <c r="E418" s="690">
        <v>102856.98</v>
      </c>
      <c r="F418" s="690">
        <v>347143.02</v>
      </c>
      <c r="G418" s="691"/>
      <c r="H418" s="692">
        <v>857.14</v>
      </c>
      <c r="I418" s="691"/>
      <c r="J418" s="691"/>
      <c r="K418" s="691"/>
      <c r="L418" s="690">
        <v>450000</v>
      </c>
      <c r="M418" s="690">
        <v>103714.12</v>
      </c>
      <c r="N418" s="693">
        <v>346285.88</v>
      </c>
      <c r="O418" s="698">
        <f t="shared" si="23"/>
        <v>10285.68</v>
      </c>
      <c r="P418" s="699">
        <f t="shared" si="22"/>
        <v>336857.34</v>
      </c>
      <c r="Q418" s="1050"/>
    </row>
    <row r="419" spans="2:17" ht="34.5" customHeight="1" hidden="1" outlineLevel="4">
      <c r="B419" s="1850" t="s">
        <v>7</v>
      </c>
      <c r="C419" s="1850"/>
      <c r="D419" s="690">
        <v>345762.71</v>
      </c>
      <c r="E419" s="690">
        <v>89945.49</v>
      </c>
      <c r="F419" s="690">
        <v>255817.22</v>
      </c>
      <c r="G419" s="691"/>
      <c r="H419" s="692">
        <v>708.53</v>
      </c>
      <c r="I419" s="691"/>
      <c r="J419" s="691"/>
      <c r="K419" s="691"/>
      <c r="L419" s="690">
        <v>345762.71</v>
      </c>
      <c r="M419" s="690">
        <v>90654.02</v>
      </c>
      <c r="N419" s="693">
        <v>255108.69</v>
      </c>
      <c r="O419" s="698">
        <f t="shared" si="23"/>
        <v>8502.36</v>
      </c>
      <c r="P419" s="699">
        <f t="shared" si="22"/>
        <v>247314.86</v>
      </c>
      <c r="Q419" s="1050"/>
    </row>
    <row r="420" spans="2:17" ht="45.75" customHeight="1" hidden="1" outlineLevel="4">
      <c r="B420" s="1850" t="s">
        <v>8</v>
      </c>
      <c r="C420" s="1850"/>
      <c r="D420" s="690">
        <v>24344</v>
      </c>
      <c r="E420" s="690">
        <v>13265.93</v>
      </c>
      <c r="F420" s="690">
        <v>11078.07</v>
      </c>
      <c r="G420" s="691"/>
      <c r="H420" s="692">
        <v>114.29</v>
      </c>
      <c r="I420" s="691"/>
      <c r="J420" s="691"/>
      <c r="K420" s="691"/>
      <c r="L420" s="690">
        <v>24344</v>
      </c>
      <c r="M420" s="690">
        <v>13380.22</v>
      </c>
      <c r="N420" s="693">
        <v>10963.78</v>
      </c>
      <c r="O420" s="698">
        <f t="shared" si="23"/>
        <v>1371.48</v>
      </c>
      <c r="P420" s="699">
        <f t="shared" si="22"/>
        <v>9706.59</v>
      </c>
      <c r="Q420" s="1050"/>
    </row>
    <row r="421" spans="2:17" ht="23.25" customHeight="1" hidden="1" outlineLevel="4">
      <c r="B421" s="1850" t="s">
        <v>9</v>
      </c>
      <c r="C421" s="1850"/>
      <c r="D421" s="690">
        <v>3813.56</v>
      </c>
      <c r="E421" s="690">
        <v>3813.56</v>
      </c>
      <c r="F421" s="691"/>
      <c r="G421" s="691"/>
      <c r="H421" s="691"/>
      <c r="I421" s="691"/>
      <c r="J421" s="691"/>
      <c r="K421" s="691"/>
      <c r="L421" s="690">
        <v>3813.56</v>
      </c>
      <c r="M421" s="690">
        <v>3813.56</v>
      </c>
      <c r="N421" s="695"/>
      <c r="O421" s="698">
        <f t="shared" si="23"/>
        <v>0</v>
      </c>
      <c r="P421" s="699">
        <f t="shared" si="22"/>
        <v>0</v>
      </c>
      <c r="Q421" s="1050"/>
    </row>
    <row r="422" spans="2:17" ht="45.75" customHeight="1" hidden="1" outlineLevel="4">
      <c r="B422" s="1850" t="s">
        <v>10</v>
      </c>
      <c r="C422" s="1850"/>
      <c r="D422" s="690">
        <v>3813.56</v>
      </c>
      <c r="E422" s="690">
        <v>3813.56</v>
      </c>
      <c r="F422" s="691"/>
      <c r="G422" s="691"/>
      <c r="H422" s="691"/>
      <c r="I422" s="691"/>
      <c r="J422" s="691"/>
      <c r="K422" s="691"/>
      <c r="L422" s="690">
        <v>3813.56</v>
      </c>
      <c r="M422" s="690">
        <v>3813.56</v>
      </c>
      <c r="N422" s="695"/>
      <c r="O422" s="698">
        <f t="shared" si="23"/>
        <v>0</v>
      </c>
      <c r="P422" s="699">
        <f t="shared" si="22"/>
        <v>0</v>
      </c>
      <c r="Q422" s="1050"/>
    </row>
    <row r="423" spans="2:17" ht="45.75" customHeight="1" hidden="1" outlineLevel="4">
      <c r="B423" s="1850" t="s">
        <v>11</v>
      </c>
      <c r="C423" s="1850"/>
      <c r="D423" s="690">
        <v>10129.16</v>
      </c>
      <c r="E423" s="690">
        <v>10129.16</v>
      </c>
      <c r="F423" s="691"/>
      <c r="G423" s="691"/>
      <c r="H423" s="691"/>
      <c r="I423" s="691"/>
      <c r="J423" s="691"/>
      <c r="K423" s="691"/>
      <c r="L423" s="690">
        <v>10129.16</v>
      </c>
      <c r="M423" s="690">
        <v>10129.16</v>
      </c>
      <c r="N423" s="695"/>
      <c r="O423" s="698">
        <f t="shared" si="23"/>
        <v>0</v>
      </c>
      <c r="P423" s="699">
        <f t="shared" si="22"/>
        <v>0</v>
      </c>
      <c r="Q423" s="1050"/>
    </row>
    <row r="424" spans="2:17" ht="45.75" customHeight="1" hidden="1" outlineLevel="4">
      <c r="B424" s="1850" t="s">
        <v>299</v>
      </c>
      <c r="C424" s="1850"/>
      <c r="D424" s="690">
        <v>24476.74</v>
      </c>
      <c r="E424" s="690">
        <v>4861.32</v>
      </c>
      <c r="F424" s="690">
        <v>19615.42</v>
      </c>
      <c r="G424" s="691"/>
      <c r="H424" s="692">
        <v>58.56</v>
      </c>
      <c r="I424" s="691"/>
      <c r="J424" s="691"/>
      <c r="K424" s="691"/>
      <c r="L424" s="690">
        <v>24476.74</v>
      </c>
      <c r="M424" s="690">
        <v>4919.88</v>
      </c>
      <c r="N424" s="693">
        <v>19556.86</v>
      </c>
      <c r="O424" s="698">
        <f t="shared" si="23"/>
        <v>702.72</v>
      </c>
      <c r="P424" s="699">
        <f t="shared" si="22"/>
        <v>18912.699999999997</v>
      </c>
      <c r="Q424" s="1050"/>
    </row>
    <row r="425" spans="2:17" ht="23.25" customHeight="1" hidden="1" outlineLevel="4">
      <c r="B425" s="1850" t="s">
        <v>300</v>
      </c>
      <c r="C425" s="1850"/>
      <c r="D425" s="690">
        <v>13433.33</v>
      </c>
      <c r="E425" s="690">
        <v>13433.33</v>
      </c>
      <c r="F425" s="691"/>
      <c r="G425" s="691"/>
      <c r="H425" s="691"/>
      <c r="I425" s="691"/>
      <c r="J425" s="691"/>
      <c r="K425" s="691"/>
      <c r="L425" s="690">
        <v>13433.33</v>
      </c>
      <c r="M425" s="690">
        <v>13433.33</v>
      </c>
      <c r="N425" s="695"/>
      <c r="O425" s="698">
        <f t="shared" si="23"/>
        <v>0</v>
      </c>
      <c r="P425" s="699">
        <f t="shared" si="22"/>
        <v>0</v>
      </c>
      <c r="Q425" s="1050"/>
    </row>
    <row r="426" spans="2:17" ht="34.5" customHeight="1" hidden="1" outlineLevel="4">
      <c r="B426" s="1850" t="s">
        <v>301</v>
      </c>
      <c r="C426" s="1850"/>
      <c r="D426" s="690">
        <v>17947</v>
      </c>
      <c r="E426" s="690">
        <v>17947</v>
      </c>
      <c r="F426" s="691"/>
      <c r="G426" s="691"/>
      <c r="H426" s="691"/>
      <c r="I426" s="691"/>
      <c r="J426" s="691"/>
      <c r="K426" s="691"/>
      <c r="L426" s="690">
        <v>17947</v>
      </c>
      <c r="M426" s="690">
        <v>17947</v>
      </c>
      <c r="N426" s="695"/>
      <c r="O426" s="698">
        <f t="shared" si="23"/>
        <v>0</v>
      </c>
      <c r="P426" s="699">
        <f t="shared" si="22"/>
        <v>0</v>
      </c>
      <c r="Q426" s="1050"/>
    </row>
    <row r="427" spans="2:17" ht="34.5" customHeight="1" hidden="1" outlineLevel="4">
      <c r="B427" s="1850" t="s">
        <v>302</v>
      </c>
      <c r="C427" s="1850"/>
      <c r="D427" s="690">
        <v>21580</v>
      </c>
      <c r="E427" s="690">
        <v>21580</v>
      </c>
      <c r="F427" s="691"/>
      <c r="G427" s="691"/>
      <c r="H427" s="691"/>
      <c r="I427" s="691"/>
      <c r="J427" s="691"/>
      <c r="K427" s="691"/>
      <c r="L427" s="690">
        <v>21580</v>
      </c>
      <c r="M427" s="690">
        <v>21580</v>
      </c>
      <c r="N427" s="695"/>
      <c r="O427" s="698">
        <f t="shared" si="23"/>
        <v>0</v>
      </c>
      <c r="P427" s="699">
        <f t="shared" si="22"/>
        <v>0</v>
      </c>
      <c r="Q427" s="1050"/>
    </row>
    <row r="428" spans="2:17" ht="34.5" customHeight="1" hidden="1" outlineLevel="4">
      <c r="B428" s="1850" t="s">
        <v>303</v>
      </c>
      <c r="C428" s="1850"/>
      <c r="D428" s="690">
        <v>21580</v>
      </c>
      <c r="E428" s="690">
        <v>21580</v>
      </c>
      <c r="F428" s="691"/>
      <c r="G428" s="691"/>
      <c r="H428" s="691"/>
      <c r="I428" s="691"/>
      <c r="J428" s="691"/>
      <c r="K428" s="691"/>
      <c r="L428" s="690">
        <v>21580</v>
      </c>
      <c r="M428" s="690">
        <v>21580</v>
      </c>
      <c r="N428" s="695"/>
      <c r="O428" s="698">
        <f t="shared" si="23"/>
        <v>0</v>
      </c>
      <c r="P428" s="699">
        <f t="shared" si="22"/>
        <v>0</v>
      </c>
      <c r="Q428" s="1050"/>
    </row>
    <row r="429" spans="2:17" ht="34.5" customHeight="1" hidden="1" outlineLevel="4">
      <c r="B429" s="1850" t="s">
        <v>304</v>
      </c>
      <c r="C429" s="1850"/>
      <c r="D429" s="690">
        <v>24553.87</v>
      </c>
      <c r="E429" s="690">
        <v>24553.87</v>
      </c>
      <c r="F429" s="691"/>
      <c r="G429" s="691"/>
      <c r="H429" s="691"/>
      <c r="I429" s="691"/>
      <c r="J429" s="691"/>
      <c r="K429" s="691"/>
      <c r="L429" s="690">
        <v>24553.87</v>
      </c>
      <c r="M429" s="690">
        <v>24553.87</v>
      </c>
      <c r="N429" s="695"/>
      <c r="O429" s="698">
        <f t="shared" si="23"/>
        <v>0</v>
      </c>
      <c r="P429" s="699">
        <f t="shared" si="22"/>
        <v>0</v>
      </c>
      <c r="Q429" s="1050"/>
    </row>
    <row r="430" spans="2:17" ht="45.75" customHeight="1" hidden="1" outlineLevel="4">
      <c r="B430" s="1850" t="s">
        <v>305</v>
      </c>
      <c r="C430" s="1850"/>
      <c r="D430" s="690">
        <v>22426.34</v>
      </c>
      <c r="E430" s="690">
        <v>13615.98</v>
      </c>
      <c r="F430" s="690">
        <v>8810.36</v>
      </c>
      <c r="G430" s="691"/>
      <c r="H430" s="692">
        <v>266.98</v>
      </c>
      <c r="I430" s="691"/>
      <c r="J430" s="691"/>
      <c r="K430" s="691"/>
      <c r="L430" s="690">
        <v>22426.34</v>
      </c>
      <c r="M430" s="690">
        <v>13882.96</v>
      </c>
      <c r="N430" s="693">
        <v>8543.38</v>
      </c>
      <c r="O430" s="698">
        <f t="shared" si="23"/>
        <v>3203.76</v>
      </c>
      <c r="P430" s="699">
        <f t="shared" si="22"/>
        <v>5606.6</v>
      </c>
      <c r="Q430" s="1050"/>
    </row>
    <row r="431" spans="2:17" ht="34.5" customHeight="1" hidden="1" outlineLevel="4">
      <c r="B431" s="1850" t="s">
        <v>306</v>
      </c>
      <c r="C431" s="1850"/>
      <c r="D431" s="690">
        <v>25400</v>
      </c>
      <c r="E431" s="690">
        <v>15421.38</v>
      </c>
      <c r="F431" s="690">
        <v>9978.62</v>
      </c>
      <c r="G431" s="691"/>
      <c r="H431" s="692">
        <v>302.38</v>
      </c>
      <c r="I431" s="691"/>
      <c r="J431" s="691"/>
      <c r="K431" s="691"/>
      <c r="L431" s="690">
        <v>25400</v>
      </c>
      <c r="M431" s="690">
        <v>15723.76</v>
      </c>
      <c r="N431" s="693">
        <v>9676.24</v>
      </c>
      <c r="O431" s="698">
        <f t="shared" si="23"/>
        <v>3628.56</v>
      </c>
      <c r="P431" s="699">
        <f t="shared" si="22"/>
        <v>6350.060000000001</v>
      </c>
      <c r="Q431" s="1050"/>
    </row>
    <row r="432" spans="2:17" ht="42" customHeight="1" collapsed="1">
      <c r="B432" s="1880" t="s">
        <v>22</v>
      </c>
      <c r="C432" s="1880"/>
      <c r="D432" s="689">
        <f>SUM(D436:D465)</f>
        <v>3217478.83</v>
      </c>
      <c r="E432" s="689">
        <f aca="true" t="shared" si="24" ref="E432:O432">SUM(E436:E465)</f>
        <v>810781.6500000001</v>
      </c>
      <c r="F432" s="689">
        <f t="shared" si="24"/>
        <v>2406697.18</v>
      </c>
      <c r="G432" s="689">
        <f t="shared" si="24"/>
        <v>0</v>
      </c>
      <c r="H432" s="689">
        <f t="shared" si="24"/>
        <v>18273.040000000005</v>
      </c>
      <c r="I432" s="689">
        <f t="shared" si="24"/>
        <v>0</v>
      </c>
      <c r="J432" s="689">
        <f t="shared" si="24"/>
        <v>0</v>
      </c>
      <c r="K432" s="689">
        <f t="shared" si="24"/>
        <v>0</v>
      </c>
      <c r="L432" s="689">
        <f t="shared" si="24"/>
        <v>3217478.83</v>
      </c>
      <c r="M432" s="689">
        <f t="shared" si="24"/>
        <v>829054.6900000004</v>
      </c>
      <c r="N432" s="689">
        <f t="shared" si="24"/>
        <v>2388424.140000001</v>
      </c>
      <c r="O432" s="689">
        <f t="shared" si="24"/>
        <v>219276.47999999992</v>
      </c>
      <c r="P432" s="701">
        <f t="shared" si="22"/>
        <v>2187420.7</v>
      </c>
      <c r="Q432" s="1050">
        <v>2</v>
      </c>
    </row>
    <row r="433" spans="2:17" ht="12" customHeight="1" hidden="1" outlineLevel="1">
      <c r="B433" s="1877" t="s">
        <v>546</v>
      </c>
      <c r="C433" s="1877"/>
      <c r="D433" s="690">
        <v>3217478.83</v>
      </c>
      <c r="E433" s="690">
        <v>810781.65</v>
      </c>
      <c r="F433" s="690">
        <v>2406697.18</v>
      </c>
      <c r="G433" s="691"/>
      <c r="H433" s="690">
        <v>18273.04</v>
      </c>
      <c r="I433" s="691"/>
      <c r="J433" s="691"/>
      <c r="K433" s="691"/>
      <c r="L433" s="690">
        <v>3217478.83</v>
      </c>
      <c r="M433" s="690">
        <v>829054.69</v>
      </c>
      <c r="N433" s="693">
        <v>2388424.14</v>
      </c>
      <c r="O433" s="698">
        <f t="shared" si="23"/>
        <v>219276.48</v>
      </c>
      <c r="P433" s="699">
        <f t="shared" si="22"/>
        <v>2187420.7</v>
      </c>
      <c r="Q433" s="1050"/>
    </row>
    <row r="434" spans="2:17" ht="12" customHeight="1" hidden="1" outlineLevel="2">
      <c r="B434" s="1878" t="s">
        <v>547</v>
      </c>
      <c r="C434" s="1878"/>
      <c r="D434" s="690">
        <v>3217478.83</v>
      </c>
      <c r="E434" s="690">
        <v>810781.65</v>
      </c>
      <c r="F434" s="690">
        <v>2406697.18</v>
      </c>
      <c r="G434" s="691"/>
      <c r="H434" s="690">
        <v>18273.04</v>
      </c>
      <c r="I434" s="691"/>
      <c r="J434" s="691"/>
      <c r="K434" s="691"/>
      <c r="L434" s="690">
        <v>3217478.83</v>
      </c>
      <c r="M434" s="690">
        <v>829054.69</v>
      </c>
      <c r="N434" s="693">
        <v>2388424.14</v>
      </c>
      <c r="O434" s="698">
        <f t="shared" si="23"/>
        <v>219276.48</v>
      </c>
      <c r="P434" s="699">
        <f t="shared" si="22"/>
        <v>2187420.7</v>
      </c>
      <c r="Q434" s="1050"/>
    </row>
    <row r="435" spans="2:17" ht="34.5" customHeight="1" hidden="1" outlineLevel="3">
      <c r="B435" s="1879" t="s">
        <v>22</v>
      </c>
      <c r="C435" s="1879"/>
      <c r="D435" s="690">
        <v>3217478.83</v>
      </c>
      <c r="E435" s="690">
        <v>810781.65</v>
      </c>
      <c r="F435" s="690">
        <v>2406697.18</v>
      </c>
      <c r="G435" s="691"/>
      <c r="H435" s="690">
        <v>18273.04</v>
      </c>
      <c r="I435" s="691"/>
      <c r="J435" s="691"/>
      <c r="K435" s="691"/>
      <c r="L435" s="690">
        <v>3217478.83</v>
      </c>
      <c r="M435" s="690">
        <v>829054.69</v>
      </c>
      <c r="N435" s="693">
        <v>2388424.14</v>
      </c>
      <c r="O435" s="698">
        <f t="shared" si="23"/>
        <v>219276.48</v>
      </c>
      <c r="P435" s="699">
        <f t="shared" si="22"/>
        <v>2187420.7</v>
      </c>
      <c r="Q435" s="1050"/>
    </row>
    <row r="436" spans="2:17" ht="45.75" customHeight="1" hidden="1" outlineLevel="4">
      <c r="B436" s="1850" t="s">
        <v>307</v>
      </c>
      <c r="C436" s="1850"/>
      <c r="D436" s="690">
        <v>58089.83</v>
      </c>
      <c r="E436" s="690">
        <v>25010.8</v>
      </c>
      <c r="F436" s="690">
        <v>33079.03</v>
      </c>
      <c r="G436" s="691"/>
      <c r="H436" s="692">
        <v>806.8</v>
      </c>
      <c r="I436" s="691"/>
      <c r="J436" s="691"/>
      <c r="K436" s="691"/>
      <c r="L436" s="690">
        <v>58089.83</v>
      </c>
      <c r="M436" s="690">
        <v>25817.6</v>
      </c>
      <c r="N436" s="693">
        <v>32272.23</v>
      </c>
      <c r="O436" s="698">
        <f t="shared" si="23"/>
        <v>9681.599999999999</v>
      </c>
      <c r="P436" s="699">
        <f t="shared" si="22"/>
        <v>23397.43</v>
      </c>
      <c r="Q436" s="1050"/>
    </row>
    <row r="437" spans="2:17" ht="57" customHeight="1" hidden="1" outlineLevel="4">
      <c r="B437" s="1850" t="s">
        <v>308</v>
      </c>
      <c r="C437" s="1850"/>
      <c r="D437" s="690">
        <v>217095</v>
      </c>
      <c r="E437" s="690">
        <v>53973.9</v>
      </c>
      <c r="F437" s="690">
        <v>163121.1</v>
      </c>
      <c r="G437" s="691"/>
      <c r="H437" s="690">
        <v>1199.42</v>
      </c>
      <c r="I437" s="691"/>
      <c r="J437" s="691"/>
      <c r="K437" s="691"/>
      <c r="L437" s="690">
        <v>217095</v>
      </c>
      <c r="M437" s="690">
        <v>55173.32</v>
      </c>
      <c r="N437" s="693">
        <v>161921.68</v>
      </c>
      <c r="O437" s="698">
        <f t="shared" si="23"/>
        <v>14393.04</v>
      </c>
      <c r="P437" s="699">
        <f t="shared" si="22"/>
        <v>148728.06</v>
      </c>
      <c r="Q437" s="1050"/>
    </row>
    <row r="438" spans="2:17" ht="57" customHeight="1" hidden="1" outlineLevel="4">
      <c r="B438" s="1850" t="s">
        <v>1149</v>
      </c>
      <c r="C438" s="1850"/>
      <c r="D438" s="690">
        <v>128885</v>
      </c>
      <c r="E438" s="690">
        <v>32043.15</v>
      </c>
      <c r="F438" s="690">
        <v>96841.85</v>
      </c>
      <c r="G438" s="691"/>
      <c r="H438" s="692">
        <v>712.07</v>
      </c>
      <c r="I438" s="691"/>
      <c r="J438" s="691"/>
      <c r="K438" s="691"/>
      <c r="L438" s="690">
        <v>128885</v>
      </c>
      <c r="M438" s="690">
        <v>32755.22</v>
      </c>
      <c r="N438" s="693">
        <v>96129.78</v>
      </c>
      <c r="O438" s="698">
        <f t="shared" si="23"/>
        <v>8544.84</v>
      </c>
      <c r="P438" s="699">
        <f t="shared" si="22"/>
        <v>88297.01000000001</v>
      </c>
      <c r="Q438" s="1050"/>
    </row>
    <row r="439" spans="2:17" ht="57" customHeight="1" hidden="1" outlineLevel="4">
      <c r="B439" s="1850" t="s">
        <v>1150</v>
      </c>
      <c r="C439" s="1850"/>
      <c r="D439" s="690">
        <v>288317</v>
      </c>
      <c r="E439" s="690">
        <v>71680.95</v>
      </c>
      <c r="F439" s="690">
        <v>216636.05</v>
      </c>
      <c r="G439" s="691"/>
      <c r="H439" s="690">
        <v>1592.91</v>
      </c>
      <c r="I439" s="691"/>
      <c r="J439" s="691"/>
      <c r="K439" s="691"/>
      <c r="L439" s="690">
        <v>288317</v>
      </c>
      <c r="M439" s="690">
        <v>73273.86</v>
      </c>
      <c r="N439" s="693">
        <v>215043.14</v>
      </c>
      <c r="O439" s="698">
        <f t="shared" si="23"/>
        <v>19114.920000000002</v>
      </c>
      <c r="P439" s="699">
        <f t="shared" si="22"/>
        <v>197521.12999999998</v>
      </c>
      <c r="Q439" s="1050"/>
    </row>
    <row r="440" spans="2:17" ht="68.25" customHeight="1" hidden="1" outlineLevel="4">
      <c r="B440" s="1850" t="s">
        <v>1151</v>
      </c>
      <c r="C440" s="1850"/>
      <c r="D440" s="690">
        <v>346065</v>
      </c>
      <c r="E440" s="690">
        <v>86038.2</v>
      </c>
      <c r="F440" s="690">
        <v>260026.8</v>
      </c>
      <c r="G440" s="691"/>
      <c r="H440" s="690">
        <v>1911.96</v>
      </c>
      <c r="I440" s="691"/>
      <c r="J440" s="691"/>
      <c r="K440" s="691"/>
      <c r="L440" s="690">
        <v>346065</v>
      </c>
      <c r="M440" s="690">
        <v>87950.16</v>
      </c>
      <c r="N440" s="693">
        <v>258114.84</v>
      </c>
      <c r="O440" s="698">
        <f t="shared" si="23"/>
        <v>22943.52</v>
      </c>
      <c r="P440" s="699">
        <f t="shared" si="22"/>
        <v>237083.28</v>
      </c>
      <c r="Q440" s="1050"/>
    </row>
    <row r="441" spans="2:17" ht="68.25" customHeight="1" hidden="1" outlineLevel="4">
      <c r="B441" s="1850" t="s">
        <v>1152</v>
      </c>
      <c r="C441" s="1850"/>
      <c r="D441" s="690">
        <v>207277</v>
      </c>
      <c r="E441" s="690">
        <v>51533.1</v>
      </c>
      <c r="F441" s="690">
        <v>155743.9</v>
      </c>
      <c r="G441" s="691"/>
      <c r="H441" s="690">
        <v>1145.18</v>
      </c>
      <c r="I441" s="691"/>
      <c r="J441" s="691"/>
      <c r="K441" s="691"/>
      <c r="L441" s="690">
        <v>207277</v>
      </c>
      <c r="M441" s="690">
        <v>52678.28</v>
      </c>
      <c r="N441" s="693">
        <v>154598.72</v>
      </c>
      <c r="O441" s="698">
        <f t="shared" si="23"/>
        <v>13742.16</v>
      </c>
      <c r="P441" s="699">
        <f t="shared" si="22"/>
        <v>142001.74</v>
      </c>
      <c r="Q441" s="1050"/>
    </row>
    <row r="442" spans="2:17" ht="68.25" customHeight="1" hidden="1" outlineLevel="4">
      <c r="B442" s="1850" t="s">
        <v>1153</v>
      </c>
      <c r="C442" s="1850"/>
      <c r="D442" s="690">
        <v>361565</v>
      </c>
      <c r="E442" s="690">
        <v>89892</v>
      </c>
      <c r="F442" s="690">
        <v>271673</v>
      </c>
      <c r="G442" s="691"/>
      <c r="H442" s="690">
        <v>1997.6</v>
      </c>
      <c r="I442" s="691"/>
      <c r="J442" s="691"/>
      <c r="K442" s="691"/>
      <c r="L442" s="690">
        <v>361565</v>
      </c>
      <c r="M442" s="690">
        <v>91889.6</v>
      </c>
      <c r="N442" s="693">
        <v>269675.4</v>
      </c>
      <c r="O442" s="698">
        <f t="shared" si="23"/>
        <v>23971.199999999997</v>
      </c>
      <c r="P442" s="699">
        <f t="shared" si="22"/>
        <v>247701.8</v>
      </c>
      <c r="Q442" s="1050"/>
    </row>
    <row r="443" spans="2:17" ht="68.25" customHeight="1" hidden="1" outlineLevel="4">
      <c r="B443" s="1850" t="s">
        <v>346</v>
      </c>
      <c r="C443" s="1850"/>
      <c r="D443" s="690">
        <v>387124</v>
      </c>
      <c r="E443" s="690">
        <v>96246.45</v>
      </c>
      <c r="F443" s="690">
        <v>290877.55</v>
      </c>
      <c r="G443" s="691"/>
      <c r="H443" s="690">
        <v>2138.81</v>
      </c>
      <c r="I443" s="691"/>
      <c r="J443" s="691"/>
      <c r="K443" s="691"/>
      <c r="L443" s="690">
        <v>387124</v>
      </c>
      <c r="M443" s="690">
        <v>98385.26</v>
      </c>
      <c r="N443" s="693">
        <v>288738.74</v>
      </c>
      <c r="O443" s="698">
        <f t="shared" si="23"/>
        <v>25665.72</v>
      </c>
      <c r="P443" s="699">
        <f t="shared" si="22"/>
        <v>265211.82999999996</v>
      </c>
      <c r="Q443" s="1050"/>
    </row>
    <row r="444" spans="2:17" ht="68.25" customHeight="1" hidden="1" outlineLevel="4">
      <c r="B444" s="1850" t="s">
        <v>347</v>
      </c>
      <c r="C444" s="1850"/>
      <c r="D444" s="690">
        <v>137145</v>
      </c>
      <c r="E444" s="690">
        <v>34096.95</v>
      </c>
      <c r="F444" s="690">
        <v>103048.05</v>
      </c>
      <c r="G444" s="691"/>
      <c r="H444" s="692">
        <v>757.71</v>
      </c>
      <c r="I444" s="691"/>
      <c r="J444" s="691"/>
      <c r="K444" s="691"/>
      <c r="L444" s="690">
        <v>137145</v>
      </c>
      <c r="M444" s="690">
        <v>34854.66</v>
      </c>
      <c r="N444" s="693">
        <v>102290.34</v>
      </c>
      <c r="O444" s="698">
        <f t="shared" si="23"/>
        <v>9092.52</v>
      </c>
      <c r="P444" s="699">
        <f t="shared" si="22"/>
        <v>93955.53</v>
      </c>
      <c r="Q444" s="1050"/>
    </row>
    <row r="445" spans="2:17" ht="68.25" customHeight="1" hidden="1" outlineLevel="4">
      <c r="B445" s="1850" t="s">
        <v>348</v>
      </c>
      <c r="C445" s="1850"/>
      <c r="D445" s="690">
        <v>47059</v>
      </c>
      <c r="E445" s="690">
        <v>11699.55</v>
      </c>
      <c r="F445" s="690">
        <v>35359.45</v>
      </c>
      <c r="G445" s="691"/>
      <c r="H445" s="692">
        <v>259.99</v>
      </c>
      <c r="I445" s="691"/>
      <c r="J445" s="691"/>
      <c r="K445" s="691"/>
      <c r="L445" s="690">
        <v>47059</v>
      </c>
      <c r="M445" s="690">
        <v>11959.54</v>
      </c>
      <c r="N445" s="693">
        <v>35099.46</v>
      </c>
      <c r="O445" s="698">
        <f t="shared" si="23"/>
        <v>3119.88</v>
      </c>
      <c r="P445" s="699">
        <f t="shared" si="22"/>
        <v>32239.569999999996</v>
      </c>
      <c r="Q445" s="1050"/>
    </row>
    <row r="446" spans="2:17" ht="57" customHeight="1" hidden="1" outlineLevel="4">
      <c r="B446" s="1850" t="s">
        <v>349</v>
      </c>
      <c r="C446" s="1850"/>
      <c r="D446" s="690">
        <v>145246</v>
      </c>
      <c r="E446" s="690">
        <v>36110.7</v>
      </c>
      <c r="F446" s="690">
        <v>109135.3</v>
      </c>
      <c r="G446" s="691"/>
      <c r="H446" s="692">
        <v>802.46</v>
      </c>
      <c r="I446" s="691"/>
      <c r="J446" s="691"/>
      <c r="K446" s="691"/>
      <c r="L446" s="690">
        <v>145246</v>
      </c>
      <c r="M446" s="690">
        <v>36913.16</v>
      </c>
      <c r="N446" s="693">
        <v>108332.84</v>
      </c>
      <c r="O446" s="698">
        <f t="shared" si="23"/>
        <v>9629.52</v>
      </c>
      <c r="P446" s="699">
        <f t="shared" si="22"/>
        <v>99505.78</v>
      </c>
      <c r="Q446" s="1050"/>
    </row>
    <row r="447" spans="2:17" ht="68.25" customHeight="1" hidden="1" outlineLevel="4">
      <c r="B447" s="1850" t="s">
        <v>350</v>
      </c>
      <c r="C447" s="1850"/>
      <c r="D447" s="690">
        <v>163704</v>
      </c>
      <c r="E447" s="690">
        <v>40699.8</v>
      </c>
      <c r="F447" s="690">
        <v>123004.2</v>
      </c>
      <c r="G447" s="691"/>
      <c r="H447" s="692">
        <v>904.44</v>
      </c>
      <c r="I447" s="691"/>
      <c r="J447" s="691"/>
      <c r="K447" s="691"/>
      <c r="L447" s="690">
        <v>163704</v>
      </c>
      <c r="M447" s="690">
        <v>41604.24</v>
      </c>
      <c r="N447" s="693">
        <v>122099.76</v>
      </c>
      <c r="O447" s="698">
        <f t="shared" si="23"/>
        <v>10853.28</v>
      </c>
      <c r="P447" s="699">
        <f t="shared" si="22"/>
        <v>112150.92</v>
      </c>
      <c r="Q447" s="1050"/>
    </row>
    <row r="448" spans="2:17" ht="68.25" customHeight="1" hidden="1" outlineLevel="4">
      <c r="B448" s="1850" t="s">
        <v>351</v>
      </c>
      <c r="C448" s="1850"/>
      <c r="D448" s="690">
        <v>15987</v>
      </c>
      <c r="E448" s="690">
        <v>3974.85</v>
      </c>
      <c r="F448" s="690">
        <v>12012.15</v>
      </c>
      <c r="G448" s="691"/>
      <c r="H448" s="692">
        <v>88.33</v>
      </c>
      <c r="I448" s="691"/>
      <c r="J448" s="691"/>
      <c r="K448" s="691"/>
      <c r="L448" s="690">
        <v>15987</v>
      </c>
      <c r="M448" s="690">
        <v>4063.18</v>
      </c>
      <c r="N448" s="693">
        <v>11923.82</v>
      </c>
      <c r="O448" s="698">
        <f t="shared" si="23"/>
        <v>1059.96</v>
      </c>
      <c r="P448" s="699">
        <f t="shared" si="22"/>
        <v>10952.189999999999</v>
      </c>
      <c r="Q448" s="1050"/>
    </row>
    <row r="449" spans="2:17" ht="68.25" customHeight="1" hidden="1" outlineLevel="4">
      <c r="B449" s="1850" t="s">
        <v>352</v>
      </c>
      <c r="C449" s="1850"/>
      <c r="D449" s="690">
        <v>112824</v>
      </c>
      <c r="E449" s="690">
        <v>28050.3</v>
      </c>
      <c r="F449" s="690">
        <v>84773.7</v>
      </c>
      <c r="G449" s="691"/>
      <c r="H449" s="692">
        <v>623.34</v>
      </c>
      <c r="I449" s="691"/>
      <c r="J449" s="691"/>
      <c r="K449" s="691"/>
      <c r="L449" s="690">
        <v>112824</v>
      </c>
      <c r="M449" s="690">
        <v>28673.64</v>
      </c>
      <c r="N449" s="693">
        <v>84150.36</v>
      </c>
      <c r="O449" s="698">
        <f t="shared" si="23"/>
        <v>7480.08</v>
      </c>
      <c r="P449" s="699">
        <f t="shared" si="22"/>
        <v>77293.62</v>
      </c>
      <c r="Q449" s="1050"/>
    </row>
    <row r="450" spans="2:17" ht="68.25" customHeight="1" hidden="1" outlineLevel="4">
      <c r="B450" s="1850" t="s">
        <v>353</v>
      </c>
      <c r="C450" s="1850"/>
      <c r="D450" s="690">
        <v>34258</v>
      </c>
      <c r="E450" s="690">
        <v>8517.15</v>
      </c>
      <c r="F450" s="690">
        <v>25740.85</v>
      </c>
      <c r="G450" s="691"/>
      <c r="H450" s="692">
        <v>189.27</v>
      </c>
      <c r="I450" s="691"/>
      <c r="J450" s="691"/>
      <c r="K450" s="691"/>
      <c r="L450" s="690">
        <v>34258</v>
      </c>
      <c r="M450" s="690">
        <v>8706.42</v>
      </c>
      <c r="N450" s="693">
        <v>25551.58</v>
      </c>
      <c r="O450" s="698">
        <f t="shared" si="23"/>
        <v>2271.2400000000002</v>
      </c>
      <c r="P450" s="699">
        <f t="shared" si="22"/>
        <v>23469.609999999997</v>
      </c>
      <c r="Q450" s="1050"/>
    </row>
    <row r="451" spans="2:17" ht="57" customHeight="1" hidden="1" outlineLevel="4">
      <c r="B451" s="1850" t="s">
        <v>354</v>
      </c>
      <c r="C451" s="1850"/>
      <c r="D451" s="690">
        <v>23092</v>
      </c>
      <c r="E451" s="690">
        <v>5741.1</v>
      </c>
      <c r="F451" s="690">
        <v>17350.9</v>
      </c>
      <c r="G451" s="691"/>
      <c r="H451" s="692">
        <v>127.58</v>
      </c>
      <c r="I451" s="691"/>
      <c r="J451" s="691"/>
      <c r="K451" s="691"/>
      <c r="L451" s="690">
        <v>23092</v>
      </c>
      <c r="M451" s="690">
        <v>5868.68</v>
      </c>
      <c r="N451" s="693">
        <v>17223.32</v>
      </c>
      <c r="O451" s="698">
        <f t="shared" si="23"/>
        <v>1530.96</v>
      </c>
      <c r="P451" s="699">
        <f t="shared" si="22"/>
        <v>15819.940000000002</v>
      </c>
      <c r="Q451" s="1050"/>
    </row>
    <row r="452" spans="2:17" ht="68.25" customHeight="1" hidden="1" outlineLevel="4">
      <c r="B452" s="1850" t="s">
        <v>355</v>
      </c>
      <c r="C452" s="1850"/>
      <c r="D452" s="690">
        <v>113400</v>
      </c>
      <c r="E452" s="690">
        <v>28193.4</v>
      </c>
      <c r="F452" s="690">
        <v>85206.6</v>
      </c>
      <c r="G452" s="691"/>
      <c r="H452" s="692">
        <v>626.52</v>
      </c>
      <c r="I452" s="691"/>
      <c r="J452" s="691"/>
      <c r="K452" s="691"/>
      <c r="L452" s="690">
        <v>113400</v>
      </c>
      <c r="M452" s="690">
        <v>28819.92</v>
      </c>
      <c r="N452" s="693">
        <v>84580.08</v>
      </c>
      <c r="O452" s="698">
        <f t="shared" si="23"/>
        <v>7518.24</v>
      </c>
      <c r="P452" s="699">
        <f t="shared" si="22"/>
        <v>77688.36</v>
      </c>
      <c r="Q452" s="1050"/>
    </row>
    <row r="453" spans="2:17" ht="68.25" customHeight="1" hidden="1" outlineLevel="4">
      <c r="B453" s="1850" t="s">
        <v>356</v>
      </c>
      <c r="C453" s="1850"/>
      <c r="D453" s="690">
        <v>86963</v>
      </c>
      <c r="E453" s="690">
        <v>21620.7</v>
      </c>
      <c r="F453" s="690">
        <v>65342.3</v>
      </c>
      <c r="G453" s="691"/>
      <c r="H453" s="692">
        <v>480.46</v>
      </c>
      <c r="I453" s="691"/>
      <c r="J453" s="691"/>
      <c r="K453" s="691"/>
      <c r="L453" s="690">
        <v>86963</v>
      </c>
      <c r="M453" s="690">
        <v>22101.16</v>
      </c>
      <c r="N453" s="693">
        <v>64861.84</v>
      </c>
      <c r="O453" s="698">
        <f t="shared" si="23"/>
        <v>5765.5199999999995</v>
      </c>
      <c r="P453" s="699">
        <f t="shared" si="22"/>
        <v>59576.780000000006</v>
      </c>
      <c r="Q453" s="1050"/>
    </row>
    <row r="454" spans="2:17" ht="68.25" customHeight="1" hidden="1" outlineLevel="4">
      <c r="B454" s="1850" t="s">
        <v>1215</v>
      </c>
      <c r="C454" s="1850"/>
      <c r="D454" s="690">
        <v>31283</v>
      </c>
      <c r="E454" s="690">
        <v>7777.35</v>
      </c>
      <c r="F454" s="690">
        <v>23505.65</v>
      </c>
      <c r="G454" s="691"/>
      <c r="H454" s="692">
        <v>172.83</v>
      </c>
      <c r="I454" s="691"/>
      <c r="J454" s="691"/>
      <c r="K454" s="691"/>
      <c r="L454" s="690">
        <v>31283</v>
      </c>
      <c r="M454" s="690">
        <v>7950.18</v>
      </c>
      <c r="N454" s="693">
        <v>23332.82</v>
      </c>
      <c r="O454" s="698">
        <f t="shared" si="23"/>
        <v>2073.96</v>
      </c>
      <c r="P454" s="699">
        <f t="shared" si="22"/>
        <v>21431.690000000002</v>
      </c>
      <c r="Q454" s="1050"/>
    </row>
    <row r="455" spans="2:17" ht="68.25" customHeight="1" hidden="1" outlineLevel="4">
      <c r="B455" s="1850" t="s">
        <v>1216</v>
      </c>
      <c r="C455" s="1850"/>
      <c r="D455" s="690">
        <v>19892</v>
      </c>
      <c r="E455" s="690">
        <v>4945.5</v>
      </c>
      <c r="F455" s="690">
        <v>14946.5</v>
      </c>
      <c r="G455" s="691"/>
      <c r="H455" s="692">
        <v>109.9</v>
      </c>
      <c r="I455" s="691"/>
      <c r="J455" s="691"/>
      <c r="K455" s="691"/>
      <c r="L455" s="690">
        <v>19892</v>
      </c>
      <c r="M455" s="690">
        <v>5055.4</v>
      </c>
      <c r="N455" s="693">
        <v>14836.6</v>
      </c>
      <c r="O455" s="698">
        <f t="shared" si="23"/>
        <v>1318.8000000000002</v>
      </c>
      <c r="P455" s="699">
        <f t="shared" si="22"/>
        <v>13627.7</v>
      </c>
      <c r="Q455" s="1050"/>
    </row>
    <row r="456" spans="2:17" ht="68.25" customHeight="1" hidden="1" outlineLevel="4">
      <c r="B456" s="1850" t="s">
        <v>402</v>
      </c>
      <c r="C456" s="1850"/>
      <c r="D456" s="690">
        <v>6843</v>
      </c>
      <c r="E456" s="690">
        <v>1701.45</v>
      </c>
      <c r="F456" s="690">
        <v>5141.55</v>
      </c>
      <c r="G456" s="691"/>
      <c r="H456" s="692">
        <v>37.81</v>
      </c>
      <c r="I456" s="691"/>
      <c r="J456" s="691"/>
      <c r="K456" s="691"/>
      <c r="L456" s="690">
        <v>6843</v>
      </c>
      <c r="M456" s="690">
        <v>1739.26</v>
      </c>
      <c r="N456" s="693">
        <v>5103.74</v>
      </c>
      <c r="O456" s="698">
        <f t="shared" si="23"/>
        <v>453.72</v>
      </c>
      <c r="P456" s="699">
        <f t="shared" si="22"/>
        <v>4687.83</v>
      </c>
      <c r="Q456" s="1050"/>
    </row>
    <row r="457" spans="2:17" ht="68.25" customHeight="1" hidden="1" outlineLevel="4">
      <c r="B457" s="1850" t="s">
        <v>403</v>
      </c>
      <c r="C457" s="1850"/>
      <c r="D457" s="690">
        <v>22102</v>
      </c>
      <c r="E457" s="690">
        <v>5494.95</v>
      </c>
      <c r="F457" s="690">
        <v>16607.05</v>
      </c>
      <c r="G457" s="691"/>
      <c r="H457" s="692">
        <v>122.11</v>
      </c>
      <c r="I457" s="691"/>
      <c r="J457" s="691"/>
      <c r="K457" s="691"/>
      <c r="L457" s="690">
        <v>22102</v>
      </c>
      <c r="M457" s="690">
        <v>5617.06</v>
      </c>
      <c r="N457" s="693">
        <v>16484.94</v>
      </c>
      <c r="O457" s="698">
        <f t="shared" si="23"/>
        <v>1465.32</v>
      </c>
      <c r="P457" s="699">
        <f t="shared" si="22"/>
        <v>15141.73</v>
      </c>
      <c r="Q457" s="1050"/>
    </row>
    <row r="458" spans="2:17" ht="57" customHeight="1" hidden="1" outlineLevel="4">
      <c r="B458" s="1850" t="s">
        <v>404</v>
      </c>
      <c r="C458" s="1850"/>
      <c r="D458" s="690">
        <v>63873</v>
      </c>
      <c r="E458" s="690">
        <v>15880.05</v>
      </c>
      <c r="F458" s="690">
        <v>47992.95</v>
      </c>
      <c r="G458" s="691"/>
      <c r="H458" s="692">
        <v>352.89</v>
      </c>
      <c r="I458" s="691"/>
      <c r="J458" s="691"/>
      <c r="K458" s="691"/>
      <c r="L458" s="690">
        <v>63873</v>
      </c>
      <c r="M458" s="690">
        <v>16232.94</v>
      </c>
      <c r="N458" s="693">
        <v>47640.06</v>
      </c>
      <c r="O458" s="698">
        <f t="shared" si="23"/>
        <v>4234.68</v>
      </c>
      <c r="P458" s="699">
        <f t="shared" si="22"/>
        <v>43758.27</v>
      </c>
      <c r="Q458" s="1050"/>
    </row>
    <row r="459" spans="2:17" ht="57" customHeight="1" hidden="1" outlineLevel="4">
      <c r="B459" s="1850" t="s">
        <v>405</v>
      </c>
      <c r="C459" s="1850"/>
      <c r="D459" s="690">
        <v>39103</v>
      </c>
      <c r="E459" s="690">
        <v>9721.8</v>
      </c>
      <c r="F459" s="690">
        <v>29381.2</v>
      </c>
      <c r="G459" s="691"/>
      <c r="H459" s="692">
        <v>216.04</v>
      </c>
      <c r="I459" s="691"/>
      <c r="J459" s="691"/>
      <c r="K459" s="691"/>
      <c r="L459" s="690">
        <v>39103</v>
      </c>
      <c r="M459" s="690">
        <v>9937.84</v>
      </c>
      <c r="N459" s="693">
        <v>29165.16</v>
      </c>
      <c r="O459" s="698">
        <f t="shared" si="23"/>
        <v>2592.48</v>
      </c>
      <c r="P459" s="699">
        <f t="shared" si="22"/>
        <v>26788.72</v>
      </c>
      <c r="Q459" s="1050"/>
    </row>
    <row r="460" spans="2:17" ht="68.25" customHeight="1" hidden="1" outlineLevel="4">
      <c r="B460" s="1850" t="s">
        <v>406</v>
      </c>
      <c r="C460" s="1850"/>
      <c r="D460" s="690">
        <v>19371</v>
      </c>
      <c r="E460" s="690">
        <v>4815.9</v>
      </c>
      <c r="F460" s="690">
        <v>14555.1</v>
      </c>
      <c r="G460" s="691"/>
      <c r="H460" s="692">
        <v>107.02</v>
      </c>
      <c r="I460" s="691"/>
      <c r="J460" s="691"/>
      <c r="K460" s="691"/>
      <c r="L460" s="690">
        <v>19371</v>
      </c>
      <c r="M460" s="690">
        <v>4922.92</v>
      </c>
      <c r="N460" s="693">
        <v>14448.08</v>
      </c>
      <c r="O460" s="698">
        <f t="shared" si="23"/>
        <v>1284.24</v>
      </c>
      <c r="P460" s="699">
        <f aca="true" t="shared" si="25" ref="P460:P516">F460-O460</f>
        <v>13270.86</v>
      </c>
      <c r="Q460" s="1050"/>
    </row>
    <row r="461" spans="2:17" ht="68.25" customHeight="1" hidden="1" outlineLevel="4">
      <c r="B461" s="1850" t="s">
        <v>407</v>
      </c>
      <c r="C461" s="1850"/>
      <c r="D461" s="690">
        <v>34216</v>
      </c>
      <c r="E461" s="690">
        <v>8506.8</v>
      </c>
      <c r="F461" s="690">
        <v>25709.2</v>
      </c>
      <c r="G461" s="691"/>
      <c r="H461" s="692">
        <v>189.04</v>
      </c>
      <c r="I461" s="691"/>
      <c r="J461" s="691"/>
      <c r="K461" s="691"/>
      <c r="L461" s="690">
        <v>34216</v>
      </c>
      <c r="M461" s="690">
        <v>8695.84</v>
      </c>
      <c r="N461" s="693">
        <v>25520.16</v>
      </c>
      <c r="O461" s="698">
        <f t="shared" si="23"/>
        <v>2268.48</v>
      </c>
      <c r="P461" s="699">
        <f t="shared" si="25"/>
        <v>23440.72</v>
      </c>
      <c r="Q461" s="1050"/>
    </row>
    <row r="462" spans="2:17" ht="68.25" customHeight="1" hidden="1" outlineLevel="4">
      <c r="B462" s="1850" t="s">
        <v>408</v>
      </c>
      <c r="C462" s="1850"/>
      <c r="D462" s="690">
        <v>46924</v>
      </c>
      <c r="E462" s="690">
        <v>11953.55</v>
      </c>
      <c r="F462" s="690">
        <v>34970.45</v>
      </c>
      <c r="G462" s="691"/>
      <c r="H462" s="692">
        <v>270.3</v>
      </c>
      <c r="I462" s="691"/>
      <c r="J462" s="691"/>
      <c r="K462" s="691"/>
      <c r="L462" s="690">
        <v>46924</v>
      </c>
      <c r="M462" s="690">
        <v>12223.85</v>
      </c>
      <c r="N462" s="693">
        <v>34700.15</v>
      </c>
      <c r="O462" s="698">
        <f t="shared" si="23"/>
        <v>3243.6000000000004</v>
      </c>
      <c r="P462" s="699">
        <f t="shared" si="25"/>
        <v>31726.85</v>
      </c>
      <c r="Q462" s="1050"/>
    </row>
    <row r="463" spans="2:17" ht="68.25" customHeight="1" hidden="1" outlineLevel="4">
      <c r="B463" s="1850" t="s">
        <v>409</v>
      </c>
      <c r="C463" s="1850"/>
      <c r="D463" s="690">
        <v>17740</v>
      </c>
      <c r="E463" s="690">
        <v>4410.45</v>
      </c>
      <c r="F463" s="690">
        <v>13329.55</v>
      </c>
      <c r="G463" s="691"/>
      <c r="H463" s="692">
        <v>98.01</v>
      </c>
      <c r="I463" s="691"/>
      <c r="J463" s="691"/>
      <c r="K463" s="691"/>
      <c r="L463" s="690">
        <v>17740</v>
      </c>
      <c r="M463" s="690">
        <v>4508.46</v>
      </c>
      <c r="N463" s="693">
        <v>13231.54</v>
      </c>
      <c r="O463" s="698">
        <f t="shared" si="23"/>
        <v>1176.1200000000001</v>
      </c>
      <c r="P463" s="699">
        <f t="shared" si="25"/>
        <v>12153.429999999998</v>
      </c>
      <c r="Q463" s="1050"/>
    </row>
    <row r="464" spans="2:17" ht="57" customHeight="1" hidden="1" outlineLevel="4">
      <c r="B464" s="1850" t="s">
        <v>410</v>
      </c>
      <c r="C464" s="1850"/>
      <c r="D464" s="690">
        <v>22484</v>
      </c>
      <c r="E464" s="690">
        <v>5589.9</v>
      </c>
      <c r="F464" s="690">
        <v>16894.1</v>
      </c>
      <c r="G464" s="691"/>
      <c r="H464" s="692">
        <v>124.22</v>
      </c>
      <c r="I464" s="691"/>
      <c r="J464" s="691"/>
      <c r="K464" s="691"/>
      <c r="L464" s="690">
        <v>22484</v>
      </c>
      <c r="M464" s="690">
        <v>5714.12</v>
      </c>
      <c r="N464" s="693">
        <v>16769.88</v>
      </c>
      <c r="O464" s="698">
        <f t="shared" si="23"/>
        <v>1490.6399999999999</v>
      </c>
      <c r="P464" s="699">
        <f t="shared" si="25"/>
        <v>15403.46</v>
      </c>
      <c r="Q464" s="1050"/>
    </row>
    <row r="465" spans="2:17" ht="57" customHeight="1" hidden="1" outlineLevel="4">
      <c r="B465" s="1850" t="s">
        <v>411</v>
      </c>
      <c r="C465" s="1850"/>
      <c r="D465" s="690">
        <v>19552</v>
      </c>
      <c r="E465" s="690">
        <v>4860.9</v>
      </c>
      <c r="F465" s="690">
        <v>14691.1</v>
      </c>
      <c r="G465" s="691"/>
      <c r="H465" s="692">
        <v>108.02</v>
      </c>
      <c r="I465" s="691"/>
      <c r="J465" s="691"/>
      <c r="K465" s="691"/>
      <c r="L465" s="690">
        <v>19552</v>
      </c>
      <c r="M465" s="690">
        <v>4968.92</v>
      </c>
      <c r="N465" s="693">
        <v>14583.08</v>
      </c>
      <c r="O465" s="698">
        <f t="shared" si="23"/>
        <v>1296.24</v>
      </c>
      <c r="P465" s="699">
        <f t="shared" si="25"/>
        <v>13394.86</v>
      </c>
      <c r="Q465" s="1050"/>
    </row>
    <row r="466" spans="2:17" ht="33.75" customHeight="1" collapsed="1">
      <c r="B466" s="1880" t="s">
        <v>15</v>
      </c>
      <c r="C466" s="1880"/>
      <c r="D466" s="689">
        <v>20500</v>
      </c>
      <c r="E466" s="689">
        <v>20500</v>
      </c>
      <c r="F466" s="1029"/>
      <c r="G466" s="1029"/>
      <c r="H466" s="1029"/>
      <c r="I466" s="1029"/>
      <c r="J466" s="1029"/>
      <c r="K466" s="1029"/>
      <c r="L466" s="689">
        <v>20500</v>
      </c>
      <c r="M466" s="689">
        <v>20500</v>
      </c>
      <c r="N466" s="1031"/>
      <c r="O466" s="700">
        <f t="shared" si="23"/>
        <v>0</v>
      </c>
      <c r="P466" s="701">
        <f t="shared" si="25"/>
        <v>0</v>
      </c>
      <c r="Q466" s="1050">
        <v>3</v>
      </c>
    </row>
    <row r="467" spans="2:17" ht="12" customHeight="1" hidden="1" outlineLevel="1">
      <c r="B467" s="1877" t="s">
        <v>546</v>
      </c>
      <c r="C467" s="1877"/>
      <c r="D467" s="690">
        <v>20500</v>
      </c>
      <c r="E467" s="690">
        <v>20500</v>
      </c>
      <c r="F467" s="691"/>
      <c r="G467" s="691"/>
      <c r="H467" s="691"/>
      <c r="I467" s="691"/>
      <c r="J467" s="691"/>
      <c r="K467" s="691"/>
      <c r="L467" s="690">
        <v>20500</v>
      </c>
      <c r="M467" s="690">
        <v>20500</v>
      </c>
      <c r="N467" s="695"/>
      <c r="O467" s="698">
        <f t="shared" si="23"/>
        <v>0</v>
      </c>
      <c r="P467" s="699">
        <f t="shared" si="25"/>
        <v>0</v>
      </c>
      <c r="Q467" s="1050"/>
    </row>
    <row r="468" spans="2:17" ht="12" customHeight="1" hidden="1" outlineLevel="2">
      <c r="B468" s="1878" t="s">
        <v>547</v>
      </c>
      <c r="C468" s="1878"/>
      <c r="D468" s="690">
        <v>20500</v>
      </c>
      <c r="E468" s="690">
        <v>20500</v>
      </c>
      <c r="F468" s="691"/>
      <c r="G468" s="691"/>
      <c r="H468" s="691"/>
      <c r="I468" s="691"/>
      <c r="J468" s="691"/>
      <c r="K468" s="691"/>
      <c r="L468" s="690">
        <v>20500</v>
      </c>
      <c r="M468" s="690">
        <v>20500</v>
      </c>
      <c r="N468" s="695"/>
      <c r="O468" s="698">
        <f t="shared" si="23"/>
        <v>0</v>
      </c>
      <c r="P468" s="699">
        <f t="shared" si="25"/>
        <v>0</v>
      </c>
      <c r="Q468" s="1050"/>
    </row>
    <row r="469" spans="2:17" ht="34.5" customHeight="1" hidden="1" outlineLevel="3">
      <c r="B469" s="1879" t="s">
        <v>15</v>
      </c>
      <c r="C469" s="1879"/>
      <c r="D469" s="690">
        <v>20500</v>
      </c>
      <c r="E469" s="690">
        <v>20500</v>
      </c>
      <c r="F469" s="691"/>
      <c r="G469" s="691"/>
      <c r="H469" s="691"/>
      <c r="I469" s="691"/>
      <c r="J469" s="691"/>
      <c r="K469" s="691"/>
      <c r="L469" s="690">
        <v>20500</v>
      </c>
      <c r="M469" s="690">
        <v>20500</v>
      </c>
      <c r="N469" s="695"/>
      <c r="O469" s="698">
        <f t="shared" si="23"/>
        <v>0</v>
      </c>
      <c r="P469" s="699">
        <f t="shared" si="25"/>
        <v>0</v>
      </c>
      <c r="Q469" s="1050"/>
    </row>
    <row r="470" spans="2:17" ht="34.5" customHeight="1" hidden="1" outlineLevel="4">
      <c r="B470" s="1850" t="s">
        <v>412</v>
      </c>
      <c r="C470" s="1850"/>
      <c r="D470" s="690">
        <v>20500</v>
      </c>
      <c r="E470" s="690">
        <v>20500</v>
      </c>
      <c r="F470" s="691"/>
      <c r="G470" s="691"/>
      <c r="H470" s="691"/>
      <c r="I470" s="691"/>
      <c r="J470" s="691"/>
      <c r="K470" s="691"/>
      <c r="L470" s="690">
        <v>20500</v>
      </c>
      <c r="M470" s="690">
        <v>20500</v>
      </c>
      <c r="N470" s="695"/>
      <c r="O470" s="698">
        <f t="shared" si="23"/>
        <v>0</v>
      </c>
      <c r="P470" s="699">
        <f t="shared" si="25"/>
        <v>0</v>
      </c>
      <c r="Q470" s="1050"/>
    </row>
    <row r="471" spans="2:17" ht="26.25" customHeight="1" collapsed="1" thickBot="1">
      <c r="B471" s="1880" t="s">
        <v>16</v>
      </c>
      <c r="C471" s="1880"/>
      <c r="D471" s="689">
        <f>SUM(D475:D515)</f>
        <v>593837.6699999999</v>
      </c>
      <c r="E471" s="689">
        <f aca="true" t="shared" si="26" ref="E471:O471">SUM(E475:E515)</f>
        <v>349436.11999999994</v>
      </c>
      <c r="F471" s="689">
        <f t="shared" si="26"/>
        <v>244401.55000000002</v>
      </c>
      <c r="G471" s="689">
        <f t="shared" si="26"/>
        <v>0</v>
      </c>
      <c r="H471" s="689">
        <f t="shared" si="26"/>
        <v>2568.4700000000003</v>
      </c>
      <c r="I471" s="689">
        <f t="shared" si="26"/>
        <v>0</v>
      </c>
      <c r="J471" s="689">
        <f t="shared" si="26"/>
        <v>0</v>
      </c>
      <c r="K471" s="689">
        <f t="shared" si="26"/>
        <v>0</v>
      </c>
      <c r="L471" s="689">
        <f t="shared" si="26"/>
        <v>593837.6699999999</v>
      </c>
      <c r="M471" s="689">
        <f t="shared" si="26"/>
        <v>352004.5899999999</v>
      </c>
      <c r="N471" s="689">
        <f t="shared" si="26"/>
        <v>241833.08</v>
      </c>
      <c r="O471" s="689">
        <f t="shared" si="26"/>
        <v>30821.64</v>
      </c>
      <c r="P471" s="701">
        <f t="shared" si="25"/>
        <v>213579.91000000003</v>
      </c>
      <c r="Q471" s="1050">
        <v>4</v>
      </c>
    </row>
    <row r="472" spans="2:17" ht="12" customHeight="1" hidden="1" outlineLevel="1">
      <c r="B472" s="1877" t="s">
        <v>546</v>
      </c>
      <c r="C472" s="1877"/>
      <c r="D472" s="690">
        <v>593837.67</v>
      </c>
      <c r="E472" s="690">
        <v>349436.12</v>
      </c>
      <c r="F472" s="690">
        <v>244401.55</v>
      </c>
      <c r="G472" s="691"/>
      <c r="H472" s="690">
        <v>2568.47</v>
      </c>
      <c r="I472" s="691"/>
      <c r="J472" s="691"/>
      <c r="K472" s="691"/>
      <c r="L472" s="690">
        <v>593837.67</v>
      </c>
      <c r="M472" s="690">
        <v>352004.59</v>
      </c>
      <c r="N472" s="693">
        <v>241833.08</v>
      </c>
      <c r="O472" s="698">
        <f t="shared" si="23"/>
        <v>30821.64</v>
      </c>
      <c r="P472" s="699">
        <f t="shared" si="25"/>
        <v>213579.90999999997</v>
      </c>
      <c r="Q472" s="1050"/>
    </row>
    <row r="473" spans="2:17" ht="12" customHeight="1" hidden="1" outlineLevel="2">
      <c r="B473" s="1878" t="s">
        <v>547</v>
      </c>
      <c r="C473" s="1878"/>
      <c r="D473" s="690">
        <v>593837.67</v>
      </c>
      <c r="E473" s="690">
        <v>349436.12</v>
      </c>
      <c r="F473" s="690">
        <v>244401.55</v>
      </c>
      <c r="G473" s="691"/>
      <c r="H473" s="690">
        <v>2568.47</v>
      </c>
      <c r="I473" s="691"/>
      <c r="J473" s="691"/>
      <c r="K473" s="691"/>
      <c r="L473" s="690">
        <v>593837.67</v>
      </c>
      <c r="M473" s="690">
        <v>352004.59</v>
      </c>
      <c r="N473" s="693">
        <v>241833.08</v>
      </c>
      <c r="O473" s="698">
        <f t="shared" si="23"/>
        <v>30821.64</v>
      </c>
      <c r="P473" s="699">
        <f t="shared" si="25"/>
        <v>213579.90999999997</v>
      </c>
      <c r="Q473" s="1050"/>
    </row>
    <row r="474" spans="2:17" ht="12" customHeight="1" hidden="1" outlineLevel="3">
      <c r="B474" s="1879" t="s">
        <v>16</v>
      </c>
      <c r="C474" s="1879"/>
      <c r="D474" s="690">
        <v>593837.67</v>
      </c>
      <c r="E474" s="690">
        <v>349436.12</v>
      </c>
      <c r="F474" s="690">
        <v>244401.55</v>
      </c>
      <c r="G474" s="691"/>
      <c r="H474" s="690">
        <v>2568.47</v>
      </c>
      <c r="I474" s="691"/>
      <c r="J474" s="691"/>
      <c r="K474" s="691"/>
      <c r="L474" s="690">
        <v>593837.67</v>
      </c>
      <c r="M474" s="690">
        <v>352004.59</v>
      </c>
      <c r="N474" s="693">
        <v>241833.08</v>
      </c>
      <c r="O474" s="698">
        <f t="shared" si="23"/>
        <v>30821.64</v>
      </c>
      <c r="P474" s="699">
        <f t="shared" si="25"/>
        <v>213579.90999999997</v>
      </c>
      <c r="Q474" s="1050"/>
    </row>
    <row r="475" spans="2:17" ht="45.75" customHeight="1" hidden="1" outlineLevel="4">
      <c r="B475" s="1850" t="s">
        <v>413</v>
      </c>
      <c r="C475" s="1850"/>
      <c r="D475" s="690">
        <v>43889.58</v>
      </c>
      <c r="E475" s="690">
        <v>43889.58</v>
      </c>
      <c r="F475" s="691"/>
      <c r="G475" s="691"/>
      <c r="H475" s="691"/>
      <c r="I475" s="691"/>
      <c r="J475" s="691"/>
      <c r="K475" s="691"/>
      <c r="L475" s="690">
        <v>43889.58</v>
      </c>
      <c r="M475" s="690">
        <v>43889.58</v>
      </c>
      <c r="N475" s="695"/>
      <c r="O475" s="698">
        <f t="shared" si="23"/>
        <v>0</v>
      </c>
      <c r="P475" s="699">
        <f t="shared" si="25"/>
        <v>0</v>
      </c>
      <c r="Q475" s="1050"/>
    </row>
    <row r="476" spans="2:17" ht="57" customHeight="1" hidden="1" outlineLevel="4">
      <c r="B476" s="1850" t="s">
        <v>414</v>
      </c>
      <c r="C476" s="1850"/>
      <c r="D476" s="690">
        <v>209092</v>
      </c>
      <c r="E476" s="690">
        <v>29411.48</v>
      </c>
      <c r="F476" s="690">
        <v>179680.52</v>
      </c>
      <c r="G476" s="691"/>
      <c r="H476" s="692">
        <v>204.19</v>
      </c>
      <c r="I476" s="691"/>
      <c r="J476" s="691"/>
      <c r="K476" s="691"/>
      <c r="L476" s="690">
        <v>209092</v>
      </c>
      <c r="M476" s="690">
        <v>29615.67</v>
      </c>
      <c r="N476" s="693">
        <v>179476.33</v>
      </c>
      <c r="O476" s="698">
        <f t="shared" si="23"/>
        <v>2450.2799999999997</v>
      </c>
      <c r="P476" s="699">
        <f t="shared" si="25"/>
        <v>177230.24</v>
      </c>
      <c r="Q476" s="1050"/>
    </row>
    <row r="477" spans="2:17" ht="23.25" customHeight="1" hidden="1" outlineLevel="4">
      <c r="B477" s="1850" t="s">
        <v>415</v>
      </c>
      <c r="C477" s="1850"/>
      <c r="D477" s="690">
        <v>27281.61</v>
      </c>
      <c r="E477" s="690">
        <v>18945.5</v>
      </c>
      <c r="F477" s="690">
        <v>8336.11</v>
      </c>
      <c r="G477" s="691"/>
      <c r="H477" s="692">
        <v>378.91</v>
      </c>
      <c r="I477" s="691"/>
      <c r="J477" s="691"/>
      <c r="K477" s="691"/>
      <c r="L477" s="690">
        <v>27281.61</v>
      </c>
      <c r="M477" s="690">
        <v>19324.41</v>
      </c>
      <c r="N477" s="693">
        <v>7957.2</v>
      </c>
      <c r="O477" s="698">
        <f t="shared" si="23"/>
        <v>4546.92</v>
      </c>
      <c r="P477" s="699">
        <f t="shared" si="25"/>
        <v>3789.1900000000005</v>
      </c>
      <c r="Q477" s="1050"/>
    </row>
    <row r="478" spans="2:17" ht="23.25" customHeight="1" hidden="1" outlineLevel="4">
      <c r="B478" s="1850" t="s">
        <v>416</v>
      </c>
      <c r="C478" s="1850"/>
      <c r="D478" s="690">
        <v>3000</v>
      </c>
      <c r="E478" s="690">
        <v>3000</v>
      </c>
      <c r="F478" s="691"/>
      <c r="G478" s="691"/>
      <c r="H478" s="691"/>
      <c r="I478" s="691"/>
      <c r="J478" s="691"/>
      <c r="K478" s="691"/>
      <c r="L478" s="690">
        <v>3000</v>
      </c>
      <c r="M478" s="690">
        <v>3000</v>
      </c>
      <c r="N478" s="695"/>
      <c r="O478" s="698">
        <f t="shared" si="23"/>
        <v>0</v>
      </c>
      <c r="P478" s="699">
        <f t="shared" si="25"/>
        <v>0</v>
      </c>
      <c r="Q478" s="1050"/>
    </row>
    <row r="479" spans="2:17" ht="34.5" customHeight="1" hidden="1" outlineLevel="4">
      <c r="B479" s="1850" t="s">
        <v>417</v>
      </c>
      <c r="C479" s="1850"/>
      <c r="D479" s="690">
        <v>13008.47</v>
      </c>
      <c r="E479" s="690">
        <v>8909.75</v>
      </c>
      <c r="F479" s="690">
        <v>4098.72</v>
      </c>
      <c r="G479" s="691"/>
      <c r="H479" s="692">
        <v>71.87</v>
      </c>
      <c r="I479" s="691"/>
      <c r="J479" s="691"/>
      <c r="K479" s="691"/>
      <c r="L479" s="690">
        <v>13008.47</v>
      </c>
      <c r="M479" s="690">
        <v>8981.62</v>
      </c>
      <c r="N479" s="693">
        <v>4026.85</v>
      </c>
      <c r="O479" s="698">
        <f t="shared" si="23"/>
        <v>862.44</v>
      </c>
      <c r="P479" s="699">
        <f t="shared" si="25"/>
        <v>3236.28</v>
      </c>
      <c r="Q479" s="1050"/>
    </row>
    <row r="480" spans="2:17" ht="23.25" customHeight="1" hidden="1" outlineLevel="4">
      <c r="B480" s="1850" t="s">
        <v>418</v>
      </c>
      <c r="C480" s="1850"/>
      <c r="D480" s="690">
        <v>1356.67</v>
      </c>
      <c r="E480" s="690">
        <v>1356.67</v>
      </c>
      <c r="F480" s="691"/>
      <c r="G480" s="691"/>
      <c r="H480" s="691"/>
      <c r="I480" s="691"/>
      <c r="J480" s="691"/>
      <c r="K480" s="691"/>
      <c r="L480" s="690">
        <v>1356.67</v>
      </c>
      <c r="M480" s="690">
        <v>1356.67</v>
      </c>
      <c r="N480" s="695"/>
      <c r="O480" s="698">
        <f t="shared" si="23"/>
        <v>0</v>
      </c>
      <c r="P480" s="699">
        <f t="shared" si="25"/>
        <v>0</v>
      </c>
      <c r="Q480" s="1050"/>
    </row>
    <row r="481" spans="2:17" ht="23.25" customHeight="1" hidden="1" outlineLevel="4">
      <c r="B481" s="1850" t="s">
        <v>419</v>
      </c>
      <c r="C481" s="1850"/>
      <c r="D481" s="690">
        <v>1356.67</v>
      </c>
      <c r="E481" s="690">
        <v>1356.67</v>
      </c>
      <c r="F481" s="691"/>
      <c r="G481" s="691"/>
      <c r="H481" s="691"/>
      <c r="I481" s="691"/>
      <c r="J481" s="691"/>
      <c r="K481" s="691"/>
      <c r="L481" s="690">
        <v>1356.67</v>
      </c>
      <c r="M481" s="690">
        <v>1356.67</v>
      </c>
      <c r="N481" s="695"/>
      <c r="O481" s="698">
        <f aca="true" t="shared" si="27" ref="O481:O515">H481*12</f>
        <v>0</v>
      </c>
      <c r="P481" s="699">
        <f t="shared" si="25"/>
        <v>0</v>
      </c>
      <c r="Q481" s="1050"/>
    </row>
    <row r="482" spans="2:17" ht="23.25" customHeight="1" hidden="1" outlineLevel="4">
      <c r="B482" s="1850" t="s">
        <v>420</v>
      </c>
      <c r="C482" s="1850"/>
      <c r="D482" s="690">
        <v>3694.92</v>
      </c>
      <c r="E482" s="690">
        <v>3694.92</v>
      </c>
      <c r="F482" s="691"/>
      <c r="G482" s="691"/>
      <c r="H482" s="691"/>
      <c r="I482" s="691"/>
      <c r="J482" s="691"/>
      <c r="K482" s="691"/>
      <c r="L482" s="690">
        <v>3694.92</v>
      </c>
      <c r="M482" s="690">
        <v>3694.92</v>
      </c>
      <c r="N482" s="695"/>
      <c r="O482" s="698">
        <f t="shared" si="27"/>
        <v>0</v>
      </c>
      <c r="P482" s="699">
        <f t="shared" si="25"/>
        <v>0</v>
      </c>
      <c r="Q482" s="1050"/>
    </row>
    <row r="483" spans="2:17" ht="34.5" customHeight="1" hidden="1" outlineLevel="4">
      <c r="B483" s="1850" t="s">
        <v>421</v>
      </c>
      <c r="C483" s="1850"/>
      <c r="D483" s="690">
        <v>10311.67</v>
      </c>
      <c r="E483" s="690">
        <v>10006.7</v>
      </c>
      <c r="F483" s="692">
        <v>304.97</v>
      </c>
      <c r="G483" s="691"/>
      <c r="H483" s="692">
        <v>62.49</v>
      </c>
      <c r="I483" s="691"/>
      <c r="J483" s="691"/>
      <c r="K483" s="691"/>
      <c r="L483" s="690">
        <v>10311.67</v>
      </c>
      <c r="M483" s="690">
        <v>10069.19</v>
      </c>
      <c r="N483" s="694">
        <v>242.48</v>
      </c>
      <c r="O483" s="698">
        <f t="shared" si="27"/>
        <v>749.88</v>
      </c>
      <c r="P483" s="699">
        <f t="shared" si="25"/>
        <v>-444.90999999999997</v>
      </c>
      <c r="Q483" s="1050"/>
    </row>
    <row r="484" spans="2:17" ht="23.25" customHeight="1" hidden="1" outlineLevel="4">
      <c r="B484" s="1850" t="s">
        <v>422</v>
      </c>
      <c r="C484" s="1850"/>
      <c r="D484" s="690">
        <v>6010</v>
      </c>
      <c r="E484" s="690">
        <v>6010</v>
      </c>
      <c r="F484" s="691"/>
      <c r="G484" s="691"/>
      <c r="H484" s="691"/>
      <c r="I484" s="691"/>
      <c r="J484" s="691"/>
      <c r="K484" s="691"/>
      <c r="L484" s="690">
        <v>6010</v>
      </c>
      <c r="M484" s="690">
        <v>6010</v>
      </c>
      <c r="N484" s="695"/>
      <c r="O484" s="698">
        <f t="shared" si="27"/>
        <v>0</v>
      </c>
      <c r="P484" s="699">
        <f t="shared" si="25"/>
        <v>0</v>
      </c>
      <c r="Q484" s="1050"/>
    </row>
    <row r="485" spans="2:17" ht="34.5" customHeight="1" hidden="1" outlineLevel="4">
      <c r="B485" s="1850" t="s">
        <v>423</v>
      </c>
      <c r="C485" s="1850"/>
      <c r="D485" s="692">
        <v>470</v>
      </c>
      <c r="E485" s="692">
        <v>470</v>
      </c>
      <c r="F485" s="691"/>
      <c r="G485" s="691"/>
      <c r="H485" s="691"/>
      <c r="I485" s="691"/>
      <c r="J485" s="691"/>
      <c r="K485" s="691"/>
      <c r="L485" s="692">
        <v>470</v>
      </c>
      <c r="M485" s="692">
        <v>470</v>
      </c>
      <c r="N485" s="695"/>
      <c r="O485" s="698">
        <f t="shared" si="27"/>
        <v>0</v>
      </c>
      <c r="P485" s="699">
        <f t="shared" si="25"/>
        <v>0</v>
      </c>
      <c r="Q485" s="1050"/>
    </row>
    <row r="486" spans="2:17" ht="34.5" customHeight="1" hidden="1" outlineLevel="4">
      <c r="B486" s="1850" t="s">
        <v>424</v>
      </c>
      <c r="C486" s="1850"/>
      <c r="D486" s="690">
        <v>20300</v>
      </c>
      <c r="E486" s="690">
        <v>11823.41</v>
      </c>
      <c r="F486" s="690">
        <v>8476.59</v>
      </c>
      <c r="G486" s="691"/>
      <c r="H486" s="692">
        <v>102.01</v>
      </c>
      <c r="I486" s="691"/>
      <c r="J486" s="691"/>
      <c r="K486" s="691"/>
      <c r="L486" s="690">
        <v>20300</v>
      </c>
      <c r="M486" s="690">
        <v>11925.42</v>
      </c>
      <c r="N486" s="693">
        <v>8374.58</v>
      </c>
      <c r="O486" s="698">
        <f t="shared" si="27"/>
        <v>1224.1200000000001</v>
      </c>
      <c r="P486" s="699">
        <f t="shared" si="25"/>
        <v>7252.47</v>
      </c>
      <c r="Q486" s="1050"/>
    </row>
    <row r="487" spans="2:17" ht="34.5" customHeight="1" hidden="1" outlineLevel="4">
      <c r="B487" s="1850" t="s">
        <v>425</v>
      </c>
      <c r="C487" s="1850"/>
      <c r="D487" s="690">
        <v>11194.17</v>
      </c>
      <c r="E487" s="690">
        <v>5296.71</v>
      </c>
      <c r="F487" s="690">
        <v>5897.46</v>
      </c>
      <c r="G487" s="691"/>
      <c r="H487" s="692">
        <v>39.56</v>
      </c>
      <c r="I487" s="691"/>
      <c r="J487" s="691"/>
      <c r="K487" s="691"/>
      <c r="L487" s="690">
        <v>11194.17</v>
      </c>
      <c r="M487" s="690">
        <v>5336.27</v>
      </c>
      <c r="N487" s="693">
        <v>5857.9</v>
      </c>
      <c r="O487" s="698">
        <f t="shared" si="27"/>
        <v>474.72</v>
      </c>
      <c r="P487" s="699">
        <f t="shared" si="25"/>
        <v>5422.74</v>
      </c>
      <c r="Q487" s="1050"/>
    </row>
    <row r="488" spans="2:17" ht="23.25" customHeight="1" hidden="1" outlineLevel="4">
      <c r="B488" s="1850" t="s">
        <v>426</v>
      </c>
      <c r="C488" s="1850"/>
      <c r="D488" s="690">
        <v>7911.88</v>
      </c>
      <c r="E488" s="690">
        <v>7911.88</v>
      </c>
      <c r="F488" s="691"/>
      <c r="G488" s="691"/>
      <c r="H488" s="691"/>
      <c r="I488" s="691"/>
      <c r="J488" s="691"/>
      <c r="K488" s="691"/>
      <c r="L488" s="690">
        <v>7911.88</v>
      </c>
      <c r="M488" s="690">
        <v>7911.88</v>
      </c>
      <c r="N488" s="695"/>
      <c r="O488" s="698">
        <f t="shared" si="27"/>
        <v>0</v>
      </c>
      <c r="P488" s="699">
        <f t="shared" si="25"/>
        <v>0</v>
      </c>
      <c r="Q488" s="1050"/>
    </row>
    <row r="489" spans="2:17" ht="23.25" customHeight="1" hidden="1" outlineLevel="4">
      <c r="B489" s="1850" t="s">
        <v>427</v>
      </c>
      <c r="C489" s="1850"/>
      <c r="D489" s="690">
        <v>1977.97</v>
      </c>
      <c r="E489" s="690">
        <v>1977.97</v>
      </c>
      <c r="F489" s="691"/>
      <c r="G489" s="691"/>
      <c r="H489" s="691"/>
      <c r="I489" s="691"/>
      <c r="J489" s="691"/>
      <c r="K489" s="691"/>
      <c r="L489" s="690">
        <v>1977.97</v>
      </c>
      <c r="M489" s="690">
        <v>1977.97</v>
      </c>
      <c r="N489" s="695"/>
      <c r="O489" s="698">
        <f t="shared" si="27"/>
        <v>0</v>
      </c>
      <c r="P489" s="699">
        <f t="shared" si="25"/>
        <v>0</v>
      </c>
      <c r="Q489" s="1050"/>
    </row>
    <row r="490" spans="2:17" ht="23.25" customHeight="1" hidden="1" outlineLevel="4">
      <c r="B490" s="1850" t="s">
        <v>428</v>
      </c>
      <c r="C490" s="1850"/>
      <c r="D490" s="690">
        <v>1435.59</v>
      </c>
      <c r="E490" s="690">
        <v>1435.59</v>
      </c>
      <c r="F490" s="691"/>
      <c r="G490" s="691"/>
      <c r="H490" s="691"/>
      <c r="I490" s="691"/>
      <c r="J490" s="691"/>
      <c r="K490" s="691"/>
      <c r="L490" s="690">
        <v>1435.59</v>
      </c>
      <c r="M490" s="690">
        <v>1435.59</v>
      </c>
      <c r="N490" s="695"/>
      <c r="O490" s="698">
        <f t="shared" si="27"/>
        <v>0</v>
      </c>
      <c r="P490" s="699">
        <f t="shared" si="25"/>
        <v>0</v>
      </c>
      <c r="Q490" s="1050"/>
    </row>
    <row r="491" spans="2:17" ht="23.25" customHeight="1" hidden="1" outlineLevel="4">
      <c r="B491" s="1850" t="s">
        <v>429</v>
      </c>
      <c r="C491" s="1850"/>
      <c r="D491" s="690">
        <v>1596.61</v>
      </c>
      <c r="E491" s="690">
        <v>1596.61</v>
      </c>
      <c r="F491" s="691"/>
      <c r="G491" s="691"/>
      <c r="H491" s="691"/>
      <c r="I491" s="691"/>
      <c r="J491" s="691"/>
      <c r="K491" s="691"/>
      <c r="L491" s="690">
        <v>1596.61</v>
      </c>
      <c r="M491" s="690">
        <v>1596.61</v>
      </c>
      <c r="N491" s="695"/>
      <c r="O491" s="698">
        <f t="shared" si="27"/>
        <v>0</v>
      </c>
      <c r="P491" s="699">
        <f t="shared" si="25"/>
        <v>0</v>
      </c>
      <c r="Q491" s="1050"/>
    </row>
    <row r="492" spans="2:17" ht="23.25" customHeight="1" hidden="1" outlineLevel="4">
      <c r="B492" s="1850" t="s">
        <v>430</v>
      </c>
      <c r="C492" s="1850"/>
      <c r="D492" s="690">
        <v>1503.33</v>
      </c>
      <c r="E492" s="690">
        <v>1503.33</v>
      </c>
      <c r="F492" s="691"/>
      <c r="G492" s="691"/>
      <c r="H492" s="691"/>
      <c r="I492" s="691"/>
      <c r="J492" s="691"/>
      <c r="K492" s="691"/>
      <c r="L492" s="690">
        <v>1503.33</v>
      </c>
      <c r="M492" s="690">
        <v>1503.33</v>
      </c>
      <c r="N492" s="695"/>
      <c r="O492" s="698">
        <f t="shared" si="27"/>
        <v>0</v>
      </c>
      <c r="P492" s="699">
        <f t="shared" si="25"/>
        <v>0</v>
      </c>
      <c r="Q492" s="1050"/>
    </row>
    <row r="493" spans="2:17" ht="23.25" customHeight="1" hidden="1" outlineLevel="4">
      <c r="B493" s="1850" t="s">
        <v>431</v>
      </c>
      <c r="C493" s="1850"/>
      <c r="D493" s="690">
        <v>1540</v>
      </c>
      <c r="E493" s="690">
        <v>1540</v>
      </c>
      <c r="F493" s="691"/>
      <c r="G493" s="691"/>
      <c r="H493" s="691"/>
      <c r="I493" s="691"/>
      <c r="J493" s="691"/>
      <c r="K493" s="691"/>
      <c r="L493" s="690">
        <v>1540</v>
      </c>
      <c r="M493" s="690">
        <v>1540</v>
      </c>
      <c r="N493" s="695"/>
      <c r="O493" s="698">
        <f t="shared" si="27"/>
        <v>0</v>
      </c>
      <c r="P493" s="699">
        <f t="shared" si="25"/>
        <v>0</v>
      </c>
      <c r="Q493" s="1050"/>
    </row>
    <row r="494" spans="2:17" ht="23.25" customHeight="1" hidden="1" outlineLevel="4">
      <c r="B494" s="1850" t="s">
        <v>432</v>
      </c>
      <c r="C494" s="1850"/>
      <c r="D494" s="690">
        <v>1540</v>
      </c>
      <c r="E494" s="690">
        <v>1540</v>
      </c>
      <c r="F494" s="691"/>
      <c r="G494" s="691"/>
      <c r="H494" s="691"/>
      <c r="I494" s="691"/>
      <c r="J494" s="691"/>
      <c r="K494" s="691"/>
      <c r="L494" s="690">
        <v>1540</v>
      </c>
      <c r="M494" s="690">
        <v>1540</v>
      </c>
      <c r="N494" s="695"/>
      <c r="O494" s="698">
        <f t="shared" si="27"/>
        <v>0</v>
      </c>
      <c r="P494" s="699">
        <f t="shared" si="25"/>
        <v>0</v>
      </c>
      <c r="Q494" s="1050"/>
    </row>
    <row r="495" spans="2:17" ht="23.25" customHeight="1" hidden="1" outlineLevel="4">
      <c r="B495" s="1850" t="s">
        <v>433</v>
      </c>
      <c r="C495" s="1850"/>
      <c r="D495" s="690">
        <v>1570</v>
      </c>
      <c r="E495" s="690">
        <v>1570</v>
      </c>
      <c r="F495" s="691"/>
      <c r="G495" s="691"/>
      <c r="H495" s="691"/>
      <c r="I495" s="691"/>
      <c r="J495" s="691"/>
      <c r="K495" s="691"/>
      <c r="L495" s="690">
        <v>1570</v>
      </c>
      <c r="M495" s="690">
        <v>1570</v>
      </c>
      <c r="N495" s="695"/>
      <c r="O495" s="698">
        <f t="shared" si="27"/>
        <v>0</v>
      </c>
      <c r="P495" s="699">
        <f t="shared" si="25"/>
        <v>0</v>
      </c>
      <c r="Q495" s="1050"/>
    </row>
    <row r="496" spans="2:17" ht="23.25" customHeight="1" hidden="1" outlineLevel="4">
      <c r="B496" s="1850" t="s">
        <v>434</v>
      </c>
      <c r="C496" s="1850"/>
      <c r="D496" s="690">
        <v>1686.67</v>
      </c>
      <c r="E496" s="690">
        <v>1686.67</v>
      </c>
      <c r="F496" s="691"/>
      <c r="G496" s="691"/>
      <c r="H496" s="691"/>
      <c r="I496" s="691"/>
      <c r="J496" s="691"/>
      <c r="K496" s="691"/>
      <c r="L496" s="690">
        <v>1686.67</v>
      </c>
      <c r="M496" s="690">
        <v>1686.67</v>
      </c>
      <c r="N496" s="695"/>
      <c r="O496" s="698">
        <f t="shared" si="27"/>
        <v>0</v>
      </c>
      <c r="P496" s="699">
        <f t="shared" si="25"/>
        <v>0</v>
      </c>
      <c r="Q496" s="1050"/>
    </row>
    <row r="497" spans="2:17" ht="23.25" customHeight="1" hidden="1" outlineLevel="4">
      <c r="B497" s="1850" t="s">
        <v>435</v>
      </c>
      <c r="C497" s="1850"/>
      <c r="D497" s="690">
        <v>13500</v>
      </c>
      <c r="E497" s="690">
        <v>13500</v>
      </c>
      <c r="F497" s="691"/>
      <c r="G497" s="691"/>
      <c r="H497" s="691"/>
      <c r="I497" s="691"/>
      <c r="J497" s="691"/>
      <c r="K497" s="691"/>
      <c r="L497" s="690">
        <v>13500</v>
      </c>
      <c r="M497" s="690">
        <v>13500</v>
      </c>
      <c r="N497" s="695"/>
      <c r="O497" s="698">
        <f t="shared" si="27"/>
        <v>0</v>
      </c>
      <c r="P497" s="699">
        <f t="shared" si="25"/>
        <v>0</v>
      </c>
      <c r="Q497" s="1050"/>
    </row>
    <row r="498" spans="2:17" ht="23.25" customHeight="1" hidden="1" outlineLevel="4">
      <c r="B498" s="1850" t="s">
        <v>436</v>
      </c>
      <c r="C498" s="1850"/>
      <c r="D498" s="690">
        <v>6916.91</v>
      </c>
      <c r="E498" s="690">
        <v>6916.91</v>
      </c>
      <c r="F498" s="691"/>
      <c r="G498" s="691"/>
      <c r="H498" s="691"/>
      <c r="I498" s="691"/>
      <c r="J498" s="691"/>
      <c r="K498" s="691"/>
      <c r="L498" s="690">
        <v>6916.91</v>
      </c>
      <c r="M498" s="690">
        <v>6916.91</v>
      </c>
      <c r="N498" s="695"/>
      <c r="O498" s="698">
        <f t="shared" si="27"/>
        <v>0</v>
      </c>
      <c r="P498" s="699">
        <f t="shared" si="25"/>
        <v>0</v>
      </c>
      <c r="Q498" s="1050"/>
    </row>
    <row r="499" spans="2:17" ht="23.25" customHeight="1" hidden="1" outlineLevel="4">
      <c r="B499" s="1850" t="s">
        <v>437</v>
      </c>
      <c r="C499" s="1850"/>
      <c r="D499" s="690">
        <v>7788</v>
      </c>
      <c r="E499" s="690">
        <v>7788</v>
      </c>
      <c r="F499" s="691"/>
      <c r="G499" s="691"/>
      <c r="H499" s="691"/>
      <c r="I499" s="691"/>
      <c r="J499" s="691"/>
      <c r="K499" s="691"/>
      <c r="L499" s="690">
        <v>7788</v>
      </c>
      <c r="M499" s="690">
        <v>7788</v>
      </c>
      <c r="N499" s="695"/>
      <c r="O499" s="698">
        <f t="shared" si="27"/>
        <v>0</v>
      </c>
      <c r="P499" s="699">
        <f t="shared" si="25"/>
        <v>0</v>
      </c>
      <c r="Q499" s="1050"/>
    </row>
    <row r="500" spans="2:17" ht="23.25" customHeight="1" hidden="1" outlineLevel="4">
      <c r="B500" s="1850" t="s">
        <v>438</v>
      </c>
      <c r="C500" s="1850"/>
      <c r="D500" s="690">
        <v>3040</v>
      </c>
      <c r="E500" s="690">
        <v>3040</v>
      </c>
      <c r="F500" s="691"/>
      <c r="G500" s="691"/>
      <c r="H500" s="691"/>
      <c r="I500" s="691"/>
      <c r="J500" s="691"/>
      <c r="K500" s="691"/>
      <c r="L500" s="690">
        <v>3040</v>
      </c>
      <c r="M500" s="690">
        <v>3040</v>
      </c>
      <c r="N500" s="695"/>
      <c r="O500" s="698">
        <f t="shared" si="27"/>
        <v>0</v>
      </c>
      <c r="P500" s="699">
        <f t="shared" si="25"/>
        <v>0</v>
      </c>
      <c r="Q500" s="1050"/>
    </row>
    <row r="501" spans="2:17" ht="23.25" customHeight="1" hidden="1" outlineLevel="4">
      <c r="B501" s="1850" t="s">
        <v>439</v>
      </c>
      <c r="C501" s="1850"/>
      <c r="D501" s="690">
        <v>3691.52</v>
      </c>
      <c r="E501" s="690">
        <v>3691.52</v>
      </c>
      <c r="F501" s="691"/>
      <c r="G501" s="691"/>
      <c r="H501" s="691"/>
      <c r="I501" s="691"/>
      <c r="J501" s="691"/>
      <c r="K501" s="691"/>
      <c r="L501" s="690">
        <v>3691.52</v>
      </c>
      <c r="M501" s="690">
        <v>3691.52</v>
      </c>
      <c r="N501" s="695"/>
      <c r="O501" s="698">
        <f t="shared" si="27"/>
        <v>0</v>
      </c>
      <c r="P501" s="699">
        <f t="shared" si="25"/>
        <v>0</v>
      </c>
      <c r="Q501" s="1050"/>
    </row>
    <row r="502" spans="2:17" ht="23.25" customHeight="1" hidden="1" outlineLevel="4">
      <c r="B502" s="1850" t="s">
        <v>440</v>
      </c>
      <c r="C502" s="1850"/>
      <c r="D502" s="690">
        <v>14766.08</v>
      </c>
      <c r="E502" s="690">
        <v>14766.08</v>
      </c>
      <c r="F502" s="691"/>
      <c r="G502" s="691"/>
      <c r="H502" s="691"/>
      <c r="I502" s="691"/>
      <c r="J502" s="691"/>
      <c r="K502" s="691"/>
      <c r="L502" s="690">
        <v>14766.08</v>
      </c>
      <c r="M502" s="690">
        <v>14766.08</v>
      </c>
      <c r="N502" s="695"/>
      <c r="O502" s="698">
        <f t="shared" si="27"/>
        <v>0</v>
      </c>
      <c r="P502" s="699">
        <f t="shared" si="25"/>
        <v>0</v>
      </c>
      <c r="Q502" s="1050"/>
    </row>
    <row r="503" spans="2:17" ht="23.25" customHeight="1" hidden="1" outlineLevel="4">
      <c r="B503" s="1850" t="s">
        <v>441</v>
      </c>
      <c r="C503" s="1850"/>
      <c r="D503" s="690">
        <v>2271.19</v>
      </c>
      <c r="E503" s="690">
        <v>2271.19</v>
      </c>
      <c r="F503" s="691"/>
      <c r="G503" s="691"/>
      <c r="H503" s="691"/>
      <c r="I503" s="691"/>
      <c r="J503" s="691"/>
      <c r="K503" s="691"/>
      <c r="L503" s="690">
        <v>2271.19</v>
      </c>
      <c r="M503" s="690">
        <v>2271.19</v>
      </c>
      <c r="N503" s="695"/>
      <c r="O503" s="698">
        <f t="shared" si="27"/>
        <v>0</v>
      </c>
      <c r="P503" s="699">
        <f t="shared" si="25"/>
        <v>0</v>
      </c>
      <c r="Q503" s="1050"/>
    </row>
    <row r="504" spans="2:17" ht="23.25" customHeight="1" hidden="1" outlineLevel="4">
      <c r="B504" s="1850" t="s">
        <v>442</v>
      </c>
      <c r="C504" s="1850"/>
      <c r="D504" s="690">
        <v>1118.33</v>
      </c>
      <c r="E504" s="690">
        <v>1118.33</v>
      </c>
      <c r="F504" s="691"/>
      <c r="G504" s="691"/>
      <c r="H504" s="691"/>
      <c r="I504" s="691"/>
      <c r="J504" s="691"/>
      <c r="K504" s="691"/>
      <c r="L504" s="690">
        <v>1118.33</v>
      </c>
      <c r="M504" s="690">
        <v>1118.33</v>
      </c>
      <c r="N504" s="695"/>
      <c r="O504" s="698">
        <f t="shared" si="27"/>
        <v>0</v>
      </c>
      <c r="P504" s="699">
        <f t="shared" si="25"/>
        <v>0</v>
      </c>
      <c r="Q504" s="1050"/>
    </row>
    <row r="505" spans="2:17" ht="23.25" customHeight="1" hidden="1" outlineLevel="4">
      <c r="B505" s="1850" t="s">
        <v>443</v>
      </c>
      <c r="C505" s="1850"/>
      <c r="D505" s="690">
        <v>1118.33</v>
      </c>
      <c r="E505" s="690">
        <v>1118.33</v>
      </c>
      <c r="F505" s="691"/>
      <c r="G505" s="691"/>
      <c r="H505" s="691"/>
      <c r="I505" s="691"/>
      <c r="J505" s="691"/>
      <c r="K505" s="691"/>
      <c r="L505" s="690">
        <v>1118.33</v>
      </c>
      <c r="M505" s="690">
        <v>1118.33</v>
      </c>
      <c r="N505" s="695"/>
      <c r="O505" s="698">
        <f t="shared" si="27"/>
        <v>0</v>
      </c>
      <c r="P505" s="699">
        <f t="shared" si="25"/>
        <v>0</v>
      </c>
      <c r="Q505" s="1050"/>
    </row>
    <row r="506" spans="2:17" ht="23.25" customHeight="1" hidden="1" outlineLevel="4">
      <c r="B506" s="1850" t="s">
        <v>444</v>
      </c>
      <c r="C506" s="1850"/>
      <c r="D506" s="690">
        <v>2713.33</v>
      </c>
      <c r="E506" s="690">
        <v>2713.33</v>
      </c>
      <c r="F506" s="691"/>
      <c r="G506" s="691"/>
      <c r="H506" s="691"/>
      <c r="I506" s="691"/>
      <c r="J506" s="691"/>
      <c r="K506" s="691"/>
      <c r="L506" s="690">
        <v>2713.33</v>
      </c>
      <c r="M506" s="690">
        <v>2713.33</v>
      </c>
      <c r="N506" s="695"/>
      <c r="O506" s="698">
        <f t="shared" si="27"/>
        <v>0</v>
      </c>
      <c r="P506" s="699">
        <f t="shared" si="25"/>
        <v>0</v>
      </c>
      <c r="Q506" s="1050"/>
    </row>
    <row r="507" spans="2:17" ht="23.25" customHeight="1" hidden="1" outlineLevel="4">
      <c r="B507" s="1850" t="s">
        <v>445</v>
      </c>
      <c r="C507" s="1850"/>
      <c r="D507" s="690">
        <v>2640</v>
      </c>
      <c r="E507" s="690">
        <v>2640</v>
      </c>
      <c r="F507" s="691"/>
      <c r="G507" s="691"/>
      <c r="H507" s="691"/>
      <c r="I507" s="691"/>
      <c r="J507" s="691"/>
      <c r="K507" s="691"/>
      <c r="L507" s="690">
        <v>2640</v>
      </c>
      <c r="M507" s="690">
        <v>2640</v>
      </c>
      <c r="N507" s="695"/>
      <c r="O507" s="698">
        <f t="shared" si="27"/>
        <v>0</v>
      </c>
      <c r="P507" s="699">
        <f t="shared" si="25"/>
        <v>0</v>
      </c>
      <c r="Q507" s="1050"/>
    </row>
    <row r="508" spans="2:17" ht="23.25" customHeight="1" hidden="1" outlineLevel="4">
      <c r="B508" s="1850" t="s">
        <v>446</v>
      </c>
      <c r="C508" s="1850"/>
      <c r="D508" s="690">
        <v>2878.33</v>
      </c>
      <c r="E508" s="690">
        <v>2878.33</v>
      </c>
      <c r="F508" s="691"/>
      <c r="G508" s="691"/>
      <c r="H508" s="691"/>
      <c r="I508" s="691"/>
      <c r="J508" s="691"/>
      <c r="K508" s="691"/>
      <c r="L508" s="690">
        <v>2878.33</v>
      </c>
      <c r="M508" s="690">
        <v>2878.33</v>
      </c>
      <c r="N508" s="695"/>
      <c r="O508" s="698">
        <f t="shared" si="27"/>
        <v>0</v>
      </c>
      <c r="P508" s="699">
        <f t="shared" si="25"/>
        <v>0</v>
      </c>
      <c r="Q508" s="1050"/>
    </row>
    <row r="509" spans="2:17" ht="23.25" customHeight="1" hidden="1" outlineLevel="4">
      <c r="B509" s="1850" t="s">
        <v>447</v>
      </c>
      <c r="C509" s="1850"/>
      <c r="D509" s="690">
        <v>7559.32</v>
      </c>
      <c r="E509" s="690">
        <v>7559.32</v>
      </c>
      <c r="F509" s="691"/>
      <c r="G509" s="691"/>
      <c r="H509" s="691"/>
      <c r="I509" s="691"/>
      <c r="J509" s="691"/>
      <c r="K509" s="691"/>
      <c r="L509" s="690">
        <v>7559.32</v>
      </c>
      <c r="M509" s="690">
        <v>7559.32</v>
      </c>
      <c r="N509" s="695"/>
      <c r="O509" s="698">
        <f t="shared" si="27"/>
        <v>0</v>
      </c>
      <c r="P509" s="699">
        <f t="shared" si="25"/>
        <v>0</v>
      </c>
      <c r="Q509" s="1050"/>
    </row>
    <row r="510" spans="2:17" ht="23.25" customHeight="1" hidden="1" outlineLevel="4">
      <c r="B510" s="1850" t="s">
        <v>448</v>
      </c>
      <c r="C510" s="1850"/>
      <c r="D510" s="690">
        <v>6752.54</v>
      </c>
      <c r="E510" s="690">
        <v>6752.54</v>
      </c>
      <c r="F510" s="691"/>
      <c r="G510" s="691"/>
      <c r="H510" s="691"/>
      <c r="I510" s="691"/>
      <c r="J510" s="691"/>
      <c r="K510" s="691"/>
      <c r="L510" s="690">
        <v>6752.54</v>
      </c>
      <c r="M510" s="690">
        <v>6752.54</v>
      </c>
      <c r="N510" s="695"/>
      <c r="O510" s="698">
        <f t="shared" si="27"/>
        <v>0</v>
      </c>
      <c r="P510" s="699">
        <f t="shared" si="25"/>
        <v>0</v>
      </c>
      <c r="Q510" s="1050"/>
    </row>
    <row r="511" spans="2:17" ht="23.25" customHeight="1" hidden="1" outlineLevel="4">
      <c r="B511" s="1850" t="s">
        <v>449</v>
      </c>
      <c r="C511" s="1850"/>
      <c r="D511" s="690">
        <v>22276.8</v>
      </c>
      <c r="E511" s="690">
        <v>22276.8</v>
      </c>
      <c r="F511" s="691"/>
      <c r="G511" s="691"/>
      <c r="H511" s="691"/>
      <c r="I511" s="691"/>
      <c r="J511" s="691"/>
      <c r="K511" s="691"/>
      <c r="L511" s="690">
        <v>22276.8</v>
      </c>
      <c r="M511" s="690">
        <v>22276.8</v>
      </c>
      <c r="N511" s="695"/>
      <c r="O511" s="698">
        <f t="shared" si="27"/>
        <v>0</v>
      </c>
      <c r="P511" s="699">
        <f t="shared" si="25"/>
        <v>0</v>
      </c>
      <c r="Q511" s="1050"/>
    </row>
    <row r="512" spans="2:17" ht="34.5" customHeight="1" hidden="1" outlineLevel="4">
      <c r="B512" s="1850" t="s">
        <v>816</v>
      </c>
      <c r="C512" s="1850"/>
      <c r="D512" s="690">
        <v>35143.25</v>
      </c>
      <c r="E512" s="690">
        <v>24405</v>
      </c>
      <c r="F512" s="690">
        <v>10738.25</v>
      </c>
      <c r="G512" s="691"/>
      <c r="H512" s="692">
        <v>488.1</v>
      </c>
      <c r="I512" s="691"/>
      <c r="J512" s="691"/>
      <c r="K512" s="691"/>
      <c r="L512" s="690">
        <v>35143.25</v>
      </c>
      <c r="M512" s="690">
        <v>24893.1</v>
      </c>
      <c r="N512" s="693">
        <v>10250.15</v>
      </c>
      <c r="O512" s="698">
        <f t="shared" si="27"/>
        <v>5857.200000000001</v>
      </c>
      <c r="P512" s="699">
        <f t="shared" si="25"/>
        <v>4881.049999999999</v>
      </c>
      <c r="Q512" s="1050"/>
    </row>
    <row r="513" spans="2:17" ht="23.25" customHeight="1" hidden="1" outlineLevel="4">
      <c r="B513" s="1850" t="s">
        <v>817</v>
      </c>
      <c r="C513" s="1850"/>
      <c r="D513" s="690">
        <v>27910.6</v>
      </c>
      <c r="E513" s="690">
        <v>19382.5</v>
      </c>
      <c r="F513" s="690">
        <v>8528.1</v>
      </c>
      <c r="G513" s="691"/>
      <c r="H513" s="692">
        <v>387.65</v>
      </c>
      <c r="I513" s="691"/>
      <c r="J513" s="691"/>
      <c r="K513" s="691"/>
      <c r="L513" s="690">
        <v>27910.6</v>
      </c>
      <c r="M513" s="690">
        <v>19770.15</v>
      </c>
      <c r="N513" s="693">
        <v>8140.45</v>
      </c>
      <c r="O513" s="698">
        <f t="shared" si="27"/>
        <v>4651.799999999999</v>
      </c>
      <c r="P513" s="699">
        <f t="shared" si="25"/>
        <v>3876.300000000001</v>
      </c>
      <c r="Q513" s="1050"/>
    </row>
    <row r="514" spans="2:17" ht="23.25" customHeight="1" hidden="1" outlineLevel="4">
      <c r="B514" s="1850" t="s">
        <v>818</v>
      </c>
      <c r="C514" s="1850"/>
      <c r="D514" s="690">
        <v>27557.86</v>
      </c>
      <c r="E514" s="690">
        <v>19137.5</v>
      </c>
      <c r="F514" s="690">
        <v>8420.36</v>
      </c>
      <c r="G514" s="691"/>
      <c r="H514" s="692">
        <v>382.75</v>
      </c>
      <c r="I514" s="691"/>
      <c r="J514" s="691"/>
      <c r="K514" s="691"/>
      <c r="L514" s="690">
        <v>27557.86</v>
      </c>
      <c r="M514" s="690">
        <v>19520.25</v>
      </c>
      <c r="N514" s="693">
        <v>8037.61</v>
      </c>
      <c r="O514" s="698">
        <f t="shared" si="27"/>
        <v>4593</v>
      </c>
      <c r="P514" s="699">
        <f t="shared" si="25"/>
        <v>3827.3600000000006</v>
      </c>
      <c r="Q514" s="1050"/>
    </row>
    <row r="515" spans="2:17" ht="34.5" customHeight="1" hidden="1" outlineLevel="4" thickBot="1">
      <c r="B515" s="1872" t="s">
        <v>819</v>
      </c>
      <c r="C515" s="1872"/>
      <c r="D515" s="1032">
        <v>32467.47</v>
      </c>
      <c r="E515" s="1032">
        <v>22547</v>
      </c>
      <c r="F515" s="1032">
        <v>9920.47</v>
      </c>
      <c r="G515" s="1033"/>
      <c r="H515" s="705">
        <v>450.94</v>
      </c>
      <c r="I515" s="1033"/>
      <c r="J515" s="1033"/>
      <c r="K515" s="1033"/>
      <c r="L515" s="1032">
        <v>32467.47</v>
      </c>
      <c r="M515" s="1032">
        <v>22997.94</v>
      </c>
      <c r="N515" s="1034">
        <v>9469.53</v>
      </c>
      <c r="O515" s="1035">
        <f t="shared" si="27"/>
        <v>5411.28</v>
      </c>
      <c r="P515" s="1036">
        <f t="shared" si="25"/>
        <v>4509.19</v>
      </c>
      <c r="Q515" s="1050"/>
    </row>
    <row r="516" spans="1:17" ht="21.75" customHeight="1" thickBot="1">
      <c r="A516" s="715"/>
      <c r="B516" s="1873" t="s">
        <v>820</v>
      </c>
      <c r="C516" s="1873"/>
      <c r="D516" s="1037">
        <v>64589862.48</v>
      </c>
      <c r="E516" s="1037">
        <v>24327713.98</v>
      </c>
      <c r="F516" s="1037">
        <v>40262148.5</v>
      </c>
      <c r="G516" s="1038"/>
      <c r="H516" s="1037">
        <v>198249.65</v>
      </c>
      <c r="I516" s="1038"/>
      <c r="J516" s="1038"/>
      <c r="K516" s="1038"/>
      <c r="L516" s="1037">
        <v>64589862.48</v>
      </c>
      <c r="M516" s="1037">
        <v>24525963.63</v>
      </c>
      <c r="N516" s="1039">
        <v>40063898.85</v>
      </c>
      <c r="O516" s="1040">
        <f>O11+O16+O21+O143+O158+O171+O180+O196+O202+O211+O216+O224+O229+O234+O294+O346+O432+O466+O471</f>
        <v>2361415.85</v>
      </c>
      <c r="P516" s="1041">
        <f t="shared" si="25"/>
        <v>37900732.65</v>
      </c>
      <c r="Q516" s="1050"/>
    </row>
    <row r="517" spans="1:17" ht="29.25" customHeight="1" thickBot="1">
      <c r="A517" s="714"/>
      <c r="B517" s="1859" t="s">
        <v>821</v>
      </c>
      <c r="C517" s="1859"/>
      <c r="D517" s="1042">
        <f aca="true" t="shared" si="28" ref="D517:O517">D516-D11</f>
        <v>64411896.379999995</v>
      </c>
      <c r="E517" s="1042">
        <f t="shared" si="28"/>
        <v>24257694.46</v>
      </c>
      <c r="F517" s="1042">
        <f t="shared" si="28"/>
        <v>40154201.92</v>
      </c>
      <c r="G517" s="1042">
        <f t="shared" si="28"/>
        <v>0</v>
      </c>
      <c r="H517" s="1042">
        <f t="shared" si="28"/>
        <v>195332.16999999998</v>
      </c>
      <c r="I517" s="1042">
        <f t="shared" si="28"/>
        <v>0</v>
      </c>
      <c r="J517" s="1042">
        <f t="shared" si="28"/>
        <v>0</v>
      </c>
      <c r="K517" s="1042">
        <f t="shared" si="28"/>
        <v>0</v>
      </c>
      <c r="L517" s="1042">
        <f t="shared" si="28"/>
        <v>64411896.379999995</v>
      </c>
      <c r="M517" s="1042">
        <f t="shared" si="28"/>
        <v>24453026.63</v>
      </c>
      <c r="N517" s="1043">
        <f t="shared" si="28"/>
        <v>39958869.75</v>
      </c>
      <c r="O517" s="1043">
        <f t="shared" si="28"/>
        <v>2326406.0900000003</v>
      </c>
      <c r="P517" s="1044"/>
      <c r="Q517" s="1050">
        <f>P516-P11</f>
        <v>37827795.83</v>
      </c>
    </row>
    <row r="518" spans="1:17" ht="23.25" customHeight="1">
      <c r="A518" s="717">
        <v>2015</v>
      </c>
      <c r="B518" s="1858" t="s">
        <v>856</v>
      </c>
      <c r="C518" s="1858"/>
      <c r="D518" s="1045"/>
      <c r="E518" s="1045"/>
      <c r="F518" s="1045">
        <f>D539-H539</f>
        <v>300014.24747222225</v>
      </c>
      <c r="G518" s="1045"/>
      <c r="H518" s="1045"/>
      <c r="I518" s="1045"/>
      <c r="J518" s="1045"/>
      <c r="K518" s="1045"/>
      <c r="L518" s="1045"/>
      <c r="M518" s="1045"/>
      <c r="N518" s="1045"/>
      <c r="O518" s="1045">
        <f>D529+H539</f>
        <v>2351677.030861111</v>
      </c>
      <c r="P518" s="1045">
        <f>F517+D534+D535+D536+D537+D538</f>
        <v>40479487.108333334</v>
      </c>
      <c r="Q518" s="1051">
        <f>F517-O518</f>
        <v>37802524.88913889</v>
      </c>
    </row>
    <row r="519" spans="1:17" ht="26.25" customHeight="1">
      <c r="A519" s="706">
        <v>2016</v>
      </c>
      <c r="B519" s="1046"/>
      <c r="C519" s="1045">
        <f>H539</f>
        <v>25270.940861111114</v>
      </c>
      <c r="D519" s="1047"/>
      <c r="E519" s="1047"/>
      <c r="F519" s="1045">
        <f>N534-Q534</f>
        <v>523519.27799552056</v>
      </c>
      <c r="G519" s="687"/>
      <c r="H519" s="687"/>
      <c r="I519" s="687"/>
      <c r="J519" s="687"/>
      <c r="K519" s="687"/>
      <c r="L519" s="687"/>
      <c r="M519" s="687"/>
      <c r="N519" s="1048"/>
      <c r="O519" s="1045"/>
      <c r="P519" s="1045"/>
      <c r="Q519" s="1052">
        <f>D534+D535+D536+D537+D538</f>
        <v>325285.18833333335</v>
      </c>
    </row>
    <row r="520" spans="1:17" ht="24.75" customHeight="1" thickBot="1">
      <c r="A520" s="707">
        <v>2017</v>
      </c>
      <c r="B520" s="682"/>
      <c r="C520" s="683">
        <f>(C519/6*12)+Q534</f>
        <v>118367.97419280333</v>
      </c>
      <c r="D520" s="683"/>
      <c r="E520" s="683"/>
      <c r="F520" s="683">
        <f>F517+F518+F519</f>
        <v>40977735.44546774</v>
      </c>
      <c r="G520" s="682"/>
      <c r="H520" s="683"/>
      <c r="I520" s="682"/>
      <c r="J520" s="682"/>
      <c r="K520" s="682"/>
      <c r="L520" s="683">
        <f>O517</f>
        <v>2326406.0900000003</v>
      </c>
      <c r="M520" s="683">
        <f>H539*2</f>
        <v>50541.88172222223</v>
      </c>
      <c r="N520" s="683">
        <f>Q534</f>
        <v>67826.0924705811</v>
      </c>
      <c r="O520" s="683">
        <f>C520+D529</f>
        <v>2444774.064192803</v>
      </c>
      <c r="P520" s="683">
        <f>P518+N534-O520</f>
        <v>38626058.41460663</v>
      </c>
      <c r="Q520" s="1053">
        <f>P520-O520</f>
        <v>36181284.35041383</v>
      </c>
    </row>
    <row r="521" spans="1:17" s="659" customFormat="1" ht="13.5" thickBot="1">
      <c r="A521" s="654"/>
      <c r="B521" s="649"/>
      <c r="C521" s="649"/>
      <c r="D521" s="649"/>
      <c r="E521" s="649"/>
      <c r="F521" s="649"/>
      <c r="G521" s="649"/>
      <c r="H521" s="655"/>
      <c r="I521" s="649"/>
      <c r="J521" s="649"/>
      <c r="K521" s="649"/>
      <c r="L521" s="656"/>
      <c r="M521" s="656"/>
      <c r="N521" s="657"/>
      <c r="O521" s="657"/>
      <c r="P521" s="657"/>
      <c r="Q521" s="658"/>
    </row>
    <row r="522" spans="2:17" ht="90">
      <c r="B522" s="1061"/>
      <c r="C522" s="1062"/>
      <c r="D522" s="1063"/>
      <c r="E522" s="1064" t="s">
        <v>849</v>
      </c>
      <c r="F522" s="1064" t="s">
        <v>848</v>
      </c>
      <c r="G522" s="1064" t="s">
        <v>850</v>
      </c>
      <c r="H522" s="1065" t="s">
        <v>822</v>
      </c>
      <c r="I522" s="660"/>
      <c r="J522" s="661"/>
      <c r="K522" s="661"/>
      <c r="M522" s="1070" t="s">
        <v>825</v>
      </c>
      <c r="N522" s="1070"/>
      <c r="O522" s="1070"/>
      <c r="P522" s="1070"/>
      <c r="Q522" s="1070"/>
    </row>
    <row r="523" spans="2:17" ht="41.25" customHeight="1">
      <c r="B523" s="663">
        <v>1</v>
      </c>
      <c r="C523" s="664" t="s">
        <v>550</v>
      </c>
      <c r="D523" s="665">
        <f>O21+O143+O158+O196+O211+O216+O294+O234</f>
        <v>1651619.04</v>
      </c>
      <c r="E523" s="689">
        <f>D523/1000</f>
        <v>1651.61904</v>
      </c>
      <c r="F523" s="689">
        <f>H534/1000</f>
        <v>2.75423725</v>
      </c>
      <c r="G523" s="689">
        <f>Q530/1000</f>
        <v>57.98309282368845</v>
      </c>
      <c r="H523" s="702">
        <f aca="true" t="shared" si="29" ref="H523:H528">(2*F523)+E523+G523</f>
        <v>1715.1106073236883</v>
      </c>
      <c r="I523" s="660"/>
      <c r="J523" s="661"/>
      <c r="K523" s="661"/>
      <c r="L523" s="667"/>
      <c r="M523" s="782"/>
      <c r="N523" s="673" t="s">
        <v>539</v>
      </c>
      <c r="O523" s="673" t="s">
        <v>829</v>
      </c>
      <c r="P523" s="674" t="s">
        <v>827</v>
      </c>
      <c r="Q523" s="674" t="s">
        <v>830</v>
      </c>
    </row>
    <row r="524" spans="2:17" ht="13.5">
      <c r="B524" s="663">
        <v>2</v>
      </c>
      <c r="C524" s="664" t="s">
        <v>519</v>
      </c>
      <c r="D524" s="665">
        <f>O171+O180+O202+O229+O346+O432</f>
        <v>634418.5199999998</v>
      </c>
      <c r="E524" s="689">
        <f>D524/1000</f>
        <v>634.4185199999998</v>
      </c>
      <c r="F524" s="689">
        <f>(H535+H536+H537+H538)/1000</f>
        <v>22.516703611111115</v>
      </c>
      <c r="G524" s="689">
        <f>Q533/1000</f>
        <v>9.842999646892654</v>
      </c>
      <c r="H524" s="702">
        <f t="shared" si="29"/>
        <v>689.2949268691146</v>
      </c>
      <c r="I524" s="660"/>
      <c r="J524" s="661"/>
      <c r="K524" s="661"/>
      <c r="M524" s="1071" t="s">
        <v>550</v>
      </c>
      <c r="N524" s="666"/>
      <c r="O524" s="666"/>
      <c r="P524" s="666"/>
      <c r="Q524" s="1058"/>
    </row>
    <row r="525" spans="2:17" ht="13.5">
      <c r="B525" s="663">
        <v>2.2</v>
      </c>
      <c r="C525" s="664" t="s">
        <v>177</v>
      </c>
      <c r="D525" s="665">
        <f>O224</f>
        <v>8701.1</v>
      </c>
      <c r="E525" s="689">
        <f>D525/1000</f>
        <v>8.7011</v>
      </c>
      <c r="F525" s="689"/>
      <c r="G525" s="686"/>
      <c r="H525" s="702">
        <f t="shared" si="29"/>
        <v>8.7011</v>
      </c>
      <c r="I525" s="660"/>
      <c r="J525" s="661"/>
      <c r="K525" s="661"/>
      <c r="M525" s="1072" t="s">
        <v>832</v>
      </c>
      <c r="N525" s="689">
        <v>35812.76991525423</v>
      </c>
      <c r="O525" s="712">
        <v>72</v>
      </c>
      <c r="P525" s="689">
        <f>N525/O525</f>
        <v>497.3995821563088</v>
      </c>
      <c r="Q525" s="689">
        <f>P525*6</f>
        <v>2984.397492937853</v>
      </c>
    </row>
    <row r="526" spans="2:17" ht="12.75" customHeight="1">
      <c r="B526" s="663">
        <v>3</v>
      </c>
      <c r="C526" s="664" t="s">
        <v>823</v>
      </c>
      <c r="D526" s="665">
        <f>O16+O466</f>
        <v>845.79</v>
      </c>
      <c r="E526" s="689">
        <f>D526/1000</f>
        <v>0.8457899999999999</v>
      </c>
      <c r="F526" s="689"/>
      <c r="G526" s="686"/>
      <c r="H526" s="702">
        <f t="shared" si="29"/>
        <v>0.8457899999999999</v>
      </c>
      <c r="I526" s="660"/>
      <c r="J526" s="661"/>
      <c r="K526" s="661"/>
      <c r="M526" s="1072" t="s">
        <v>834</v>
      </c>
      <c r="N526" s="689">
        <v>55132.76711016948</v>
      </c>
      <c r="O526" s="712">
        <v>25</v>
      </c>
      <c r="P526" s="689">
        <f>N526/O526</f>
        <v>2205.3106844067793</v>
      </c>
      <c r="Q526" s="689">
        <f>P526*6</f>
        <v>13231.864106440677</v>
      </c>
    </row>
    <row r="527" spans="2:17" ht="36" hidden="1">
      <c r="B527" s="663"/>
      <c r="C527" s="664"/>
      <c r="D527" s="665"/>
      <c r="E527" s="689"/>
      <c r="F527" s="689"/>
      <c r="G527" s="686"/>
      <c r="H527" s="702">
        <f t="shared" si="29"/>
        <v>0</v>
      </c>
      <c r="I527" s="660"/>
      <c r="J527" s="661"/>
      <c r="K527" s="661"/>
      <c r="M527" s="1072" t="s">
        <v>836</v>
      </c>
      <c r="N527" s="689">
        <v>85043.51694915254</v>
      </c>
      <c r="O527" s="712">
        <v>72</v>
      </c>
      <c r="P527" s="689">
        <f>N527/O527</f>
        <v>1181.1599576271187</v>
      </c>
      <c r="Q527" s="689">
        <f>P527*6</f>
        <v>7086.959745762712</v>
      </c>
    </row>
    <row r="528" spans="2:17" ht="33.75" customHeight="1">
      <c r="B528" s="663">
        <v>4</v>
      </c>
      <c r="C528" s="742" t="s">
        <v>16</v>
      </c>
      <c r="D528" s="665">
        <f>O471</f>
        <v>30821.64</v>
      </c>
      <c r="E528" s="689">
        <f>D528/1000</f>
        <v>30.82164</v>
      </c>
      <c r="F528" s="689"/>
      <c r="G528" s="686"/>
      <c r="H528" s="702">
        <f t="shared" si="29"/>
        <v>30.82164</v>
      </c>
      <c r="I528" s="660"/>
      <c r="J528" s="661"/>
      <c r="K528" s="661"/>
      <c r="M528" s="1072" t="s">
        <v>838</v>
      </c>
      <c r="N528" s="689">
        <v>125263.43089830507</v>
      </c>
      <c r="O528" s="712">
        <v>25</v>
      </c>
      <c r="P528" s="689">
        <f>N528/O528</f>
        <v>5010.537235932203</v>
      </c>
      <c r="Q528" s="689">
        <f>P528*6</f>
        <v>30063.223415593216</v>
      </c>
    </row>
    <row r="529" spans="2:17" ht="18.75" customHeight="1" thickBot="1">
      <c r="B529" s="1066"/>
      <c r="C529" s="1067"/>
      <c r="D529" s="1068">
        <f>D523+D524+D525+D526+D528</f>
        <v>2326406.09</v>
      </c>
      <c r="E529" s="1068">
        <f>E523+E524+E525+E526+E528</f>
        <v>2326.40609</v>
      </c>
      <c r="F529" s="1068">
        <f>F524+F523</f>
        <v>25.270940861111114</v>
      </c>
      <c r="G529" s="1068">
        <f>G524+G523</f>
        <v>67.8260924705811</v>
      </c>
      <c r="H529" s="1069">
        <f>H528+H526+H525+H524+H523</f>
        <v>2444.774064192803</v>
      </c>
      <c r="I529" s="668"/>
      <c r="J529" s="668"/>
      <c r="K529" s="668"/>
      <c r="L529" s="716"/>
      <c r="M529" s="1072" t="s">
        <v>840</v>
      </c>
      <c r="N529" s="689">
        <v>53860.89406779661</v>
      </c>
      <c r="O529" s="712">
        <v>70</v>
      </c>
      <c r="P529" s="689">
        <f>N529/O529</f>
        <v>769.4413438256659</v>
      </c>
      <c r="Q529" s="689">
        <f>P529*6</f>
        <v>4616.648062953995</v>
      </c>
    </row>
    <row r="530" spans="2:17" ht="18.75" customHeight="1" thickBot="1">
      <c r="B530" s="669"/>
      <c r="C530" s="670"/>
      <c r="D530" s="655"/>
      <c r="E530" s="671"/>
      <c r="F530" s="671"/>
      <c r="G530" s="672"/>
      <c r="H530" s="655"/>
      <c r="I530" s="668"/>
      <c r="J530" s="668"/>
      <c r="K530" s="668"/>
      <c r="M530" s="1073" t="s">
        <v>841</v>
      </c>
      <c r="N530" s="1074">
        <f>N525+N526+N527+N528+N529</f>
        <v>355113.3789406779</v>
      </c>
      <c r="O530" s="1075"/>
      <c r="P530" s="1074">
        <f>P529+P528+P527+P526+P525</f>
        <v>9663.848803948076</v>
      </c>
      <c r="Q530" s="1074">
        <f>Q529+Q528+Q527+Q526+Q525</f>
        <v>57983.09282368845</v>
      </c>
    </row>
    <row r="531" spans="2:17" ht="24" customHeight="1">
      <c r="B531" s="1851" t="s">
        <v>824</v>
      </c>
      <c r="C531" s="1852"/>
      <c r="D531" s="1852"/>
      <c r="E531" s="1852"/>
      <c r="F531" s="1852"/>
      <c r="G531" s="1852"/>
      <c r="H531" s="1853"/>
      <c r="I531" s="668"/>
      <c r="J531" s="668"/>
      <c r="K531" s="668"/>
      <c r="M531" s="1076" t="s">
        <v>519</v>
      </c>
      <c r="N531" s="686"/>
      <c r="O531" s="686"/>
      <c r="P531" s="686"/>
      <c r="Q531" s="687"/>
    </row>
    <row r="532" spans="2:17" ht="59.25" customHeight="1">
      <c r="B532" s="1854"/>
      <c r="C532" s="1855"/>
      <c r="D532" s="673" t="s">
        <v>539</v>
      </c>
      <c r="E532" s="673" t="s">
        <v>826</v>
      </c>
      <c r="F532" s="674" t="s">
        <v>827</v>
      </c>
      <c r="G532" s="661"/>
      <c r="H532" s="675" t="s">
        <v>828</v>
      </c>
      <c r="I532" s="668"/>
      <c r="J532" s="668"/>
      <c r="K532" s="668"/>
      <c r="M532" s="688" t="s">
        <v>842</v>
      </c>
      <c r="N532" s="689">
        <f>250000/1.18*1.067*1.045</f>
        <v>236231.9915254237</v>
      </c>
      <c r="O532" s="712">
        <f>12*12</f>
        <v>144</v>
      </c>
      <c r="P532" s="689">
        <f>N532/O532</f>
        <v>1640.4999411487759</v>
      </c>
      <c r="Q532" s="689">
        <f>P532*6</f>
        <v>9842.999646892655</v>
      </c>
    </row>
    <row r="533" spans="2:17" ht="16.5" customHeight="1">
      <c r="B533" s="1856" t="s">
        <v>550</v>
      </c>
      <c r="C533" s="1857"/>
      <c r="D533" s="708"/>
      <c r="E533" s="709"/>
      <c r="F533" s="709"/>
      <c r="G533" s="710"/>
      <c r="H533" s="1083"/>
      <c r="I533" s="668"/>
      <c r="J533" s="668"/>
      <c r="K533" s="668"/>
      <c r="M533" s="1073"/>
      <c r="N533" s="1074">
        <f>N532</f>
        <v>236231.9915254237</v>
      </c>
      <c r="O533" s="1075"/>
      <c r="P533" s="1074">
        <f>P532</f>
        <v>1640.4999411487759</v>
      </c>
      <c r="Q533" s="1074">
        <f>Q532</f>
        <v>9842.999646892655</v>
      </c>
    </row>
    <row r="534" spans="2:17" ht="23.25" customHeight="1">
      <c r="B534" s="1848" t="s">
        <v>831</v>
      </c>
      <c r="C534" s="1849"/>
      <c r="D534" s="709">
        <f>110169.49/2</f>
        <v>55084.745</v>
      </c>
      <c r="E534" s="711">
        <f>10*12</f>
        <v>120</v>
      </c>
      <c r="F534" s="709">
        <f>D534/E534</f>
        <v>459.0395416666667</v>
      </c>
      <c r="G534" s="710"/>
      <c r="H534" s="1083">
        <f>F534*6</f>
        <v>2754.23725</v>
      </c>
      <c r="I534" s="668"/>
      <c r="J534" s="668"/>
      <c r="K534" s="668"/>
      <c r="M534" s="1077"/>
      <c r="N534" s="1078">
        <f>N533+N530</f>
        <v>591345.3704661017</v>
      </c>
      <c r="O534" s="1079"/>
      <c r="P534" s="1078"/>
      <c r="Q534" s="1078">
        <f>Q533+Q530</f>
        <v>67826.0924705811</v>
      </c>
    </row>
    <row r="535" spans="2:11" ht="23.25" customHeight="1">
      <c r="B535" s="1848" t="s">
        <v>833</v>
      </c>
      <c r="C535" s="1849"/>
      <c r="D535" s="709">
        <f>173955.6/3</f>
        <v>57985.200000000004</v>
      </c>
      <c r="E535" s="711">
        <v>72</v>
      </c>
      <c r="F535" s="709">
        <f>D535/E535</f>
        <v>805.35</v>
      </c>
      <c r="G535" s="710"/>
      <c r="H535" s="1083">
        <f>F535*6</f>
        <v>4832.1</v>
      </c>
      <c r="I535" s="668"/>
      <c r="J535" s="668"/>
      <c r="K535" s="668"/>
    </row>
    <row r="536" spans="2:11" ht="23.25" customHeight="1">
      <c r="B536" s="1848" t="s">
        <v>835</v>
      </c>
      <c r="C536" s="1849"/>
      <c r="D536" s="709">
        <v>122383</v>
      </c>
      <c r="E536" s="711">
        <v>72</v>
      </c>
      <c r="F536" s="709">
        <f>D536/E536</f>
        <v>1699.763888888889</v>
      </c>
      <c r="G536" s="710"/>
      <c r="H536" s="1083">
        <f>F536*6</f>
        <v>10198.583333333334</v>
      </c>
      <c r="I536" s="668"/>
      <c r="J536" s="668"/>
      <c r="K536" s="668"/>
    </row>
    <row r="537" spans="2:11" ht="23.25" customHeight="1">
      <c r="B537" s="1848" t="s">
        <v>837</v>
      </c>
      <c r="C537" s="1849"/>
      <c r="D537" s="709">
        <v>43596.5</v>
      </c>
      <c r="E537" s="711">
        <v>72</v>
      </c>
      <c r="F537" s="709">
        <f>D537/E537</f>
        <v>605.5069444444445</v>
      </c>
      <c r="G537" s="710"/>
      <c r="H537" s="1083">
        <f>F537*6</f>
        <v>3633.041666666667</v>
      </c>
      <c r="I537" s="668"/>
      <c r="J537" s="668"/>
      <c r="K537" s="668"/>
    </row>
    <row r="538" spans="2:11" ht="23.25" customHeight="1">
      <c r="B538" s="1848" t="s">
        <v>839</v>
      </c>
      <c r="C538" s="1849"/>
      <c r="D538" s="709">
        <f>138707.23/3</f>
        <v>46235.74333333334</v>
      </c>
      <c r="E538" s="711">
        <v>72</v>
      </c>
      <c r="F538" s="709">
        <f>D538/E538</f>
        <v>642.1631018518519</v>
      </c>
      <c r="G538" s="710"/>
      <c r="H538" s="1083">
        <f>F538*6</f>
        <v>3852.9786111111116</v>
      </c>
      <c r="I538" s="668"/>
      <c r="J538" s="668"/>
      <c r="K538" s="668"/>
    </row>
    <row r="539" spans="2:12" ht="15.75" customHeight="1">
      <c r="B539" s="1866" t="s">
        <v>841</v>
      </c>
      <c r="C539" s="1867"/>
      <c r="D539" s="1056">
        <f>D538+D537+D536+D535+D534</f>
        <v>325285.18833333335</v>
      </c>
      <c r="E539" s="1057"/>
      <c r="F539" s="1056">
        <f>F538+F537+F536+F535+F534</f>
        <v>4211.823476851851</v>
      </c>
      <c r="G539" s="1056"/>
      <c r="H539" s="1084">
        <f>H538+H537+H536+H535+H534</f>
        <v>25270.940861111114</v>
      </c>
      <c r="I539" s="668"/>
      <c r="J539" s="668"/>
      <c r="K539" s="668"/>
      <c r="L539" s="716"/>
    </row>
    <row r="540" spans="2:11" ht="12.75" customHeight="1" thickBot="1">
      <c r="B540" s="1868"/>
      <c r="C540" s="1869"/>
      <c r="D540" s="1085"/>
      <c r="E540" s="1085"/>
      <c r="F540" s="1085"/>
      <c r="G540" s="1085"/>
      <c r="H540" s="1086"/>
      <c r="I540" s="668"/>
      <c r="J540" s="668"/>
      <c r="K540" s="668"/>
    </row>
    <row r="541" spans="2:11" ht="48.75" customHeight="1" hidden="1">
      <c r="B541" s="1847"/>
      <c r="C541" s="1847"/>
      <c r="D541" s="1080"/>
      <c r="E541" s="1081"/>
      <c r="F541" s="1080"/>
      <c r="G541" s="1082"/>
      <c r="H541" s="1080"/>
      <c r="I541" s="668"/>
      <c r="J541" s="668"/>
      <c r="K541" s="668"/>
    </row>
    <row r="542" spans="2:11" ht="12.75" customHeight="1" hidden="1">
      <c r="B542" s="1870"/>
      <c r="C542" s="1870"/>
      <c r="D542" s="653"/>
      <c r="E542" s="679"/>
      <c r="F542" s="653"/>
      <c r="G542" s="653"/>
      <c r="H542" s="653"/>
      <c r="I542" s="668"/>
      <c r="J542" s="668"/>
      <c r="K542" s="668"/>
    </row>
    <row r="543" spans="2:11" ht="14.25" customHeight="1" hidden="1">
      <c r="B543" s="1871"/>
      <c r="C543" s="1871"/>
      <c r="D543" s="1059"/>
      <c r="E543" s="1060"/>
      <c r="F543" s="1059"/>
      <c r="G543" s="1059"/>
      <c r="H543" s="1059"/>
      <c r="I543" s="672"/>
      <c r="J543" s="672"/>
      <c r="K543" s="672"/>
    </row>
    <row r="544" spans="2:17" s="1055" customFormat="1" ht="51" customHeight="1">
      <c r="B544" s="1887"/>
      <c r="C544" s="1887"/>
      <c r="D544" s="1887"/>
      <c r="E544" s="1887"/>
      <c r="F544" s="1887"/>
      <c r="G544" s="1887"/>
      <c r="H544" s="1887"/>
      <c r="I544" s="1887"/>
      <c r="J544" s="1887"/>
      <c r="K544" s="1887"/>
      <c r="L544" s="1887"/>
      <c r="M544" s="1887"/>
      <c r="N544" s="1887"/>
      <c r="O544" s="1887"/>
      <c r="P544" s="1887"/>
      <c r="Q544" s="1887"/>
    </row>
    <row r="545" spans="8:16" ht="75.75" customHeight="1" thickBot="1">
      <c r="H545" s="1054">
        <v>281845.63</v>
      </c>
      <c r="I545" s="649"/>
      <c r="J545" s="649"/>
      <c r="K545" s="649"/>
      <c r="L545" s="649">
        <f>H545/H546</f>
        <v>56369.126000000004</v>
      </c>
      <c r="M545" s="648">
        <v>25</v>
      </c>
      <c r="N545" s="648">
        <f>L545/M545</f>
        <v>2254.76504</v>
      </c>
      <c r="O545" s="648">
        <f>N545*12</f>
        <v>27057.180480000003</v>
      </c>
      <c r="P545" s="648"/>
    </row>
    <row r="546" spans="2:16" ht="69.75" customHeight="1">
      <c r="B546" s="1862"/>
      <c r="C546" s="1863"/>
      <c r="D546" s="718">
        <v>2014</v>
      </c>
      <c r="E546" s="718">
        <v>2015</v>
      </c>
      <c r="F546" s="718">
        <v>2016</v>
      </c>
      <c r="G546" s="719">
        <v>2017</v>
      </c>
      <c r="H546" s="713">
        <v>5</v>
      </c>
      <c r="I546" s="680"/>
      <c r="J546" s="677"/>
      <c r="K546" s="677"/>
      <c r="O546" s="648"/>
      <c r="P546" s="648"/>
    </row>
    <row r="547" spans="2:16" ht="36" customHeight="1">
      <c r="B547" s="1864" t="s">
        <v>851</v>
      </c>
      <c r="C547" s="1865"/>
      <c r="D547" s="720">
        <f>40262148.5-F11</f>
        <v>40154201.92</v>
      </c>
      <c r="E547" s="721">
        <f>P518</f>
        <v>40479487.108333334</v>
      </c>
      <c r="F547" s="721">
        <f>P520</f>
        <v>38626058.41460663</v>
      </c>
      <c r="G547" s="722">
        <f>F547</f>
        <v>38626058.41460663</v>
      </c>
      <c r="I547" s="660"/>
      <c r="J547" s="661"/>
      <c r="K547" s="661"/>
      <c r="O547" s="648"/>
      <c r="P547" s="648"/>
    </row>
    <row r="548" spans="2:16" ht="15.75">
      <c r="B548" s="1864" t="s">
        <v>852</v>
      </c>
      <c r="C548" s="1865"/>
      <c r="D548" s="721"/>
      <c r="E548" s="721">
        <f>(E547+D547)/2</f>
        <v>40316844.51416667</v>
      </c>
      <c r="F548" s="721">
        <f>(E547+F547)/2</f>
        <v>39552772.76146998</v>
      </c>
      <c r="G548" s="722">
        <f>(F547+G547)/2</f>
        <v>38626058.41460663</v>
      </c>
      <c r="I548" s="660"/>
      <c r="J548" s="661"/>
      <c r="K548" s="661"/>
      <c r="O548" s="648"/>
      <c r="P548" s="648"/>
    </row>
    <row r="549" spans="2:16" ht="15.75">
      <c r="B549" s="1864" t="s">
        <v>853</v>
      </c>
      <c r="C549" s="1865"/>
      <c r="D549" s="723">
        <v>0.022</v>
      </c>
      <c r="E549" s="723">
        <f>D549</f>
        <v>0.022</v>
      </c>
      <c r="F549" s="723">
        <v>0.022</v>
      </c>
      <c r="G549" s="724">
        <v>0.022</v>
      </c>
      <c r="I549" s="660"/>
      <c r="J549" s="661"/>
      <c r="K549" s="661"/>
      <c r="O549" s="648"/>
      <c r="P549" s="648"/>
    </row>
    <row r="550" spans="2:16" ht="16.5" thickBot="1">
      <c r="B550" s="1860" t="s">
        <v>854</v>
      </c>
      <c r="C550" s="1861"/>
      <c r="D550" s="725"/>
      <c r="E550" s="725">
        <f>E548*E549</f>
        <v>886970.5793116667</v>
      </c>
      <c r="F550" s="725">
        <f>F548*F549</f>
        <v>870161.0007523396</v>
      </c>
      <c r="G550" s="726">
        <f>G548*G549</f>
        <v>849773.2851213458</v>
      </c>
      <c r="I550" s="660"/>
      <c r="J550" s="661"/>
      <c r="K550" s="661"/>
      <c r="O550" s="648"/>
      <c r="P550" s="648"/>
    </row>
    <row r="551" spans="9:16" ht="11.25">
      <c r="I551" s="660"/>
      <c r="J551" s="661"/>
      <c r="K551" s="661"/>
      <c r="O551" s="648"/>
      <c r="P551" s="648"/>
    </row>
    <row r="552" spans="9:16" ht="11.25">
      <c r="I552" s="681"/>
      <c r="J552" s="681"/>
      <c r="K552" s="681"/>
      <c r="L552" s="667">
        <f>Q530+H539</f>
        <v>83254.03368479956</v>
      </c>
      <c r="O552" s="648"/>
      <c r="P552" s="648"/>
    </row>
    <row r="553" spans="9:16" ht="11.25">
      <c r="I553" s="660"/>
      <c r="J553" s="661"/>
      <c r="K553" s="661"/>
      <c r="O553" s="648"/>
      <c r="P553" s="648"/>
    </row>
    <row r="554" spans="9:16" ht="15.75" customHeight="1">
      <c r="I554" s="660"/>
      <c r="J554" s="661"/>
      <c r="K554" s="661"/>
      <c r="O554" s="648"/>
      <c r="P554" s="648"/>
    </row>
    <row r="555" ht="12" thickBot="1"/>
    <row r="556" spans="2:3" ht="12.75">
      <c r="B556" s="1891" t="s">
        <v>491</v>
      </c>
      <c r="C556" s="732">
        <f>110169.49/C557</f>
        <v>55084.745</v>
      </c>
    </row>
    <row r="557" spans="2:3" ht="11.25">
      <c r="B557" s="1882"/>
      <c r="C557" s="733">
        <v>2</v>
      </c>
    </row>
    <row r="558" spans="2:3" ht="11.25" hidden="1">
      <c r="B558" s="1883" t="s">
        <v>492</v>
      </c>
      <c r="C558" s="729"/>
    </row>
    <row r="559" spans="2:3" ht="11.25" hidden="1">
      <c r="B559" s="1883"/>
      <c r="C559" s="729"/>
    </row>
    <row r="560" spans="2:4" ht="12">
      <c r="B560" s="1882" t="s">
        <v>493</v>
      </c>
      <c r="C560" s="730">
        <f>173955.6/C561</f>
        <v>57985.200000000004</v>
      </c>
      <c r="D560" s="731">
        <f>C560+C564+C568+C572+C556</f>
        <v>325285.18833333335</v>
      </c>
    </row>
    <row r="561" spans="2:3" ht="11.25">
      <c r="B561" s="1882"/>
      <c r="C561" s="733">
        <v>3</v>
      </c>
    </row>
    <row r="562" spans="2:3" ht="11.25" hidden="1">
      <c r="B562" s="1883" t="s">
        <v>492</v>
      </c>
      <c r="C562" s="729"/>
    </row>
    <row r="563" spans="2:3" ht="11.25" hidden="1">
      <c r="B563" s="1883"/>
      <c r="C563" s="729"/>
    </row>
    <row r="564" spans="2:3" ht="12">
      <c r="B564" s="1882" t="s">
        <v>494</v>
      </c>
      <c r="C564" s="730">
        <v>122383</v>
      </c>
    </row>
    <row r="565" spans="2:3" ht="11.25">
      <c r="B565" s="1882"/>
      <c r="C565" s="729"/>
    </row>
    <row r="566" spans="2:3" ht="11.25" hidden="1">
      <c r="B566" s="1883" t="s">
        <v>492</v>
      </c>
      <c r="C566" s="729"/>
    </row>
    <row r="567" spans="2:3" ht="11.25" hidden="1">
      <c r="B567" s="1883"/>
      <c r="C567" s="729"/>
    </row>
    <row r="568" spans="2:3" ht="12">
      <c r="B568" s="1882" t="s">
        <v>495</v>
      </c>
      <c r="C568" s="730">
        <v>43596.5</v>
      </c>
    </row>
    <row r="569" spans="2:3" ht="11.25">
      <c r="B569" s="1882"/>
      <c r="C569" s="729"/>
    </row>
    <row r="570" spans="2:3" ht="11.25" hidden="1">
      <c r="B570" s="1883" t="s">
        <v>492</v>
      </c>
      <c r="C570" s="729"/>
    </row>
    <row r="571" spans="2:3" ht="11.25" hidden="1">
      <c r="B571" s="1883"/>
      <c r="C571" s="729"/>
    </row>
    <row r="572" spans="2:3" ht="12">
      <c r="B572" s="1882" t="s">
        <v>496</v>
      </c>
      <c r="C572" s="730">
        <f>138707.23/3</f>
        <v>46235.74333333334</v>
      </c>
    </row>
    <row r="573" spans="2:3" ht="12" thickBot="1">
      <c r="B573" s="1888"/>
      <c r="C573" s="734">
        <f>3</f>
        <v>3</v>
      </c>
    </row>
    <row r="574" spans="2:3" ht="11.25" hidden="1">
      <c r="B574" s="1889" t="s">
        <v>492</v>
      </c>
      <c r="C574" s="651"/>
    </row>
    <row r="575" spans="2:3" ht="11.25" hidden="1">
      <c r="B575" s="1890"/>
      <c r="C575" s="651"/>
    </row>
    <row r="576" spans="2:3" ht="11.25">
      <c r="B576" s="647"/>
      <c r="C576" s="651"/>
    </row>
    <row r="577" spans="2:3" ht="11.25">
      <c r="B577" s="647"/>
      <c r="C577" s="651"/>
    </row>
    <row r="578" spans="1:7" ht="63.75">
      <c r="A578" s="678"/>
      <c r="B578" s="737" t="s">
        <v>501</v>
      </c>
      <c r="C578" s="737" t="s">
        <v>497</v>
      </c>
      <c r="D578" s="737" t="s">
        <v>498</v>
      </c>
      <c r="E578" s="737" t="s">
        <v>502</v>
      </c>
      <c r="F578" s="737" t="s">
        <v>499</v>
      </c>
      <c r="G578" s="737" t="s">
        <v>500</v>
      </c>
    </row>
    <row r="579" spans="1:7" ht="81">
      <c r="A579" s="664" t="s">
        <v>550</v>
      </c>
      <c r="B579" s="740">
        <v>1651.61904</v>
      </c>
      <c r="C579" s="743">
        <f>H534/1000</f>
        <v>2.75423725</v>
      </c>
      <c r="D579" s="738">
        <f aca="true" t="shared" si="30" ref="D579:D584">C579+B579</f>
        <v>1654.37327725</v>
      </c>
      <c r="E579" s="738"/>
      <c r="F579" s="738"/>
      <c r="G579" s="738"/>
    </row>
    <row r="580" spans="1:7" ht="94.5">
      <c r="A580" s="664" t="s">
        <v>519</v>
      </c>
      <c r="B580" s="740">
        <v>634.4185199999998</v>
      </c>
      <c r="C580" s="738">
        <f>(H535+H536+H537+H538)/1000</f>
        <v>22.516703611111115</v>
      </c>
      <c r="D580" s="738">
        <f t="shared" si="30"/>
        <v>656.9352236111109</v>
      </c>
      <c r="E580" s="738"/>
      <c r="F580" s="738"/>
      <c r="G580" s="738"/>
    </row>
    <row r="581" spans="1:7" ht="27">
      <c r="A581" s="664" t="s">
        <v>177</v>
      </c>
      <c r="B581" s="740">
        <v>8.7011</v>
      </c>
      <c r="C581" s="738"/>
      <c r="D581" s="738">
        <f t="shared" si="30"/>
        <v>8.7011</v>
      </c>
      <c r="E581" s="738"/>
      <c r="F581" s="738"/>
      <c r="G581" s="738"/>
    </row>
    <row r="582" spans="1:7" ht="27">
      <c r="A582" s="664" t="s">
        <v>823</v>
      </c>
      <c r="B582" s="740">
        <v>0.8457899999999999</v>
      </c>
      <c r="C582" s="738"/>
      <c r="D582" s="738">
        <f t="shared" si="30"/>
        <v>0.8457899999999999</v>
      </c>
      <c r="E582" s="738"/>
      <c r="F582" s="738"/>
      <c r="G582" s="738"/>
    </row>
    <row r="583" spans="1:7" ht="13.5">
      <c r="A583" s="664"/>
      <c r="B583" s="740"/>
      <c r="C583" s="738"/>
      <c r="D583" s="738">
        <f t="shared" si="30"/>
        <v>0</v>
      </c>
      <c r="E583" s="738"/>
      <c r="F583" s="738"/>
      <c r="G583" s="738"/>
    </row>
    <row r="584" spans="1:7" ht="121.5">
      <c r="A584" s="742" t="s">
        <v>16</v>
      </c>
      <c r="B584" s="740">
        <v>30.82164</v>
      </c>
      <c r="C584" s="739"/>
      <c r="D584" s="738">
        <f t="shared" si="30"/>
        <v>30.82164</v>
      </c>
      <c r="E584" s="739"/>
      <c r="F584" s="739"/>
      <c r="G584" s="739"/>
    </row>
    <row r="585" spans="1:7" ht="23.25" customHeight="1">
      <c r="A585" s="742"/>
      <c r="B585" s="740"/>
      <c r="C585" s="739"/>
      <c r="D585" s="738"/>
      <c r="E585" s="739">
        <f>40154201.9+D534+D535+D536+D537+D538</f>
        <v>40479487.08833333</v>
      </c>
      <c r="F585" s="739">
        <f>((C586*2)+B586+Q534/1000)*1000</f>
        <v>2444774.064192803</v>
      </c>
      <c r="G585" s="739">
        <f>E585+N534-F585</f>
        <v>38626058.39460663</v>
      </c>
    </row>
    <row r="586" spans="2:6" ht="12.75" hidden="1">
      <c r="B586" s="741">
        <f>B579+B580+B581+B583+B584+B582</f>
        <v>2326.40609</v>
      </c>
      <c r="C586" s="744">
        <f>C579+C580+C581+C583+C584+C582</f>
        <v>25.270940861111114</v>
      </c>
      <c r="D586" s="744">
        <f>D579+D580+D581+D583+D584+D582</f>
        <v>2351.6770308611112</v>
      </c>
      <c r="E586" s="745">
        <f>E585-E547</f>
        <v>-0.020000003278255463</v>
      </c>
      <c r="F586" s="739">
        <f>O520/1000</f>
        <v>2444.774064192803</v>
      </c>
    </row>
    <row r="587" spans="2:3" ht="11.25">
      <c r="B587" s="662"/>
      <c r="C587" s="651"/>
    </row>
    <row r="588" spans="2:3" ht="11.25">
      <c r="B588" s="647"/>
      <c r="C588" s="651"/>
    </row>
    <row r="589" spans="2:3" ht="11.25">
      <c r="B589" s="647"/>
      <c r="C589" s="651"/>
    </row>
    <row r="590" spans="2:3" ht="11.25">
      <c r="B590" s="647"/>
      <c r="C590" s="651"/>
    </row>
    <row r="591" spans="2:3" ht="11.25">
      <c r="B591" s="647"/>
      <c r="C591" s="651"/>
    </row>
    <row r="592" spans="2:3" ht="11.25">
      <c r="B592" s="647"/>
      <c r="C592" s="651"/>
    </row>
    <row r="593" spans="2:3" ht="11.25">
      <c r="B593" s="647"/>
      <c r="C593" s="651"/>
    </row>
    <row r="594" spans="2:3" ht="11.25">
      <c r="B594" s="647"/>
      <c r="C594" s="651"/>
    </row>
    <row r="595" spans="2:3" ht="11.25">
      <c r="B595" s="647"/>
      <c r="C595" s="651"/>
    </row>
    <row r="596" spans="2:3" ht="11.25">
      <c r="B596" s="647"/>
      <c r="C596" s="651"/>
    </row>
    <row r="597" spans="2:3" ht="11.25">
      <c r="B597" s="647"/>
      <c r="C597" s="651"/>
    </row>
    <row r="598" spans="2:3" ht="11.25">
      <c r="B598" s="647"/>
      <c r="C598" s="651"/>
    </row>
    <row r="599" spans="2:3" ht="11.25">
      <c r="B599" s="647"/>
      <c r="C599" s="651"/>
    </row>
    <row r="600" spans="2:3" ht="11.25">
      <c r="B600" s="647"/>
      <c r="C600" s="651"/>
    </row>
    <row r="601" spans="2:3" ht="11.25">
      <c r="B601" s="647"/>
      <c r="C601" s="651"/>
    </row>
    <row r="602" spans="2:3" ht="11.25">
      <c r="B602" s="647"/>
      <c r="C602" s="651"/>
    </row>
    <row r="603" spans="2:3" ht="11.25">
      <c r="B603" s="647"/>
      <c r="C603" s="651"/>
    </row>
    <row r="604" spans="2:3" ht="11.25">
      <c r="B604" s="647"/>
      <c r="C604" s="651"/>
    </row>
    <row r="605" spans="2:3" ht="11.25">
      <c r="B605" s="647"/>
      <c r="C605" s="651"/>
    </row>
    <row r="606" spans="2:3" ht="11.25">
      <c r="B606" s="647"/>
      <c r="C606" s="651"/>
    </row>
    <row r="607" spans="2:3" ht="11.25">
      <c r="B607" s="647"/>
      <c r="C607" s="651"/>
    </row>
    <row r="608" spans="2:3" ht="11.25">
      <c r="B608" s="647"/>
      <c r="C608" s="651"/>
    </row>
    <row r="609" spans="2:3" ht="11.25">
      <c r="B609" s="647"/>
      <c r="C609" s="651"/>
    </row>
    <row r="610" spans="2:3" ht="11.25">
      <c r="B610" s="647"/>
      <c r="C610" s="651"/>
    </row>
    <row r="611" spans="2:3" ht="11.25">
      <c r="B611" s="647"/>
      <c r="C611" s="651"/>
    </row>
    <row r="612" spans="2:3" ht="11.25">
      <c r="B612" s="647"/>
      <c r="C612" s="651"/>
    </row>
    <row r="613" spans="2:3" ht="11.25">
      <c r="B613" s="647"/>
      <c r="C613" s="651"/>
    </row>
    <row r="614" spans="2:3" ht="11.25">
      <c r="B614" s="647"/>
      <c r="C614" s="651"/>
    </row>
    <row r="615" spans="2:3" ht="11.25">
      <c r="B615" s="647"/>
      <c r="C615" s="651"/>
    </row>
    <row r="616" spans="2:3" ht="11.25">
      <c r="B616" s="647"/>
      <c r="C616" s="651"/>
    </row>
    <row r="617" spans="2:3" ht="11.25">
      <c r="B617" s="647"/>
      <c r="C617" s="651"/>
    </row>
    <row r="618" spans="2:3" ht="11.25">
      <c r="B618" s="647"/>
      <c r="C618" s="651"/>
    </row>
    <row r="619" spans="2:3" ht="11.25">
      <c r="B619" s="647"/>
      <c r="C619" s="651"/>
    </row>
    <row r="620" spans="2:3" ht="11.25">
      <c r="B620" s="647"/>
      <c r="C620" s="651"/>
    </row>
    <row r="621" spans="2:3" ht="11.25">
      <c r="B621" s="647"/>
      <c r="C621" s="651"/>
    </row>
    <row r="622" spans="2:3" ht="11.25">
      <c r="B622" s="647"/>
      <c r="C622" s="651"/>
    </row>
    <row r="623" spans="2:3" ht="11.25">
      <c r="B623" s="647"/>
      <c r="C623" s="651"/>
    </row>
    <row r="624" spans="2:3" ht="11.25">
      <c r="B624" s="647"/>
      <c r="C624" s="651"/>
    </row>
    <row r="625" spans="2:3" ht="11.25">
      <c r="B625" s="647"/>
      <c r="C625" s="651"/>
    </row>
    <row r="626" spans="2:3" ht="11.25">
      <c r="B626" s="647"/>
      <c r="C626" s="651"/>
    </row>
    <row r="627" spans="2:3" ht="11.25">
      <c r="B627" s="647"/>
      <c r="C627" s="651"/>
    </row>
    <row r="628" spans="2:3" ht="11.25">
      <c r="B628" s="647"/>
      <c r="C628" s="651"/>
    </row>
    <row r="629" spans="2:3" ht="11.25">
      <c r="B629" s="647"/>
      <c r="C629" s="651"/>
    </row>
    <row r="630" spans="2:3" ht="11.25">
      <c r="B630" s="647"/>
      <c r="C630" s="651"/>
    </row>
    <row r="631" spans="2:3" ht="11.25">
      <c r="B631" s="647"/>
      <c r="C631" s="651"/>
    </row>
    <row r="632" spans="2:3" ht="11.25">
      <c r="B632" s="647"/>
      <c r="C632" s="651"/>
    </row>
    <row r="633" spans="2:3" ht="11.25">
      <c r="B633" s="647"/>
      <c r="C633" s="651"/>
    </row>
    <row r="634" spans="2:3" ht="11.25">
      <c r="B634" s="647"/>
      <c r="C634" s="651"/>
    </row>
    <row r="635" spans="2:3" ht="11.25">
      <c r="B635" s="647"/>
      <c r="C635" s="651"/>
    </row>
    <row r="636" spans="2:3" ht="11.25">
      <c r="B636" s="647"/>
      <c r="C636" s="651"/>
    </row>
    <row r="637" spans="2:3" ht="11.25">
      <c r="B637" s="647"/>
      <c r="C637" s="651"/>
    </row>
    <row r="638" spans="2:3" ht="11.25">
      <c r="B638" s="647"/>
      <c r="C638" s="651"/>
    </row>
    <row r="639" spans="2:3" ht="11.25">
      <c r="B639" s="647"/>
      <c r="C639" s="651"/>
    </row>
    <row r="640" spans="2:3" ht="11.25">
      <c r="B640" s="647"/>
      <c r="C640" s="651"/>
    </row>
    <row r="641" spans="2:3" ht="11.25">
      <c r="B641" s="647"/>
      <c r="C641" s="651"/>
    </row>
    <row r="642" spans="2:3" ht="11.25">
      <c r="B642" s="647"/>
      <c r="C642" s="651"/>
    </row>
    <row r="643" spans="2:3" ht="11.25">
      <c r="B643" s="647"/>
      <c r="C643" s="651"/>
    </row>
    <row r="644" spans="2:3" ht="11.25">
      <c r="B644" s="647"/>
      <c r="C644" s="651"/>
    </row>
    <row r="645" spans="2:3" ht="11.25">
      <c r="B645" s="647"/>
      <c r="C645" s="651"/>
    </row>
    <row r="646" spans="2:3" ht="11.25">
      <c r="B646" s="647"/>
      <c r="C646" s="651"/>
    </row>
    <row r="647" spans="2:3" ht="11.25">
      <c r="B647" s="647"/>
      <c r="C647" s="651"/>
    </row>
    <row r="648" spans="2:3" ht="11.25">
      <c r="B648" s="647"/>
      <c r="C648" s="651"/>
    </row>
    <row r="649" spans="2:3" ht="11.25">
      <c r="B649" s="647"/>
      <c r="C649" s="651"/>
    </row>
    <row r="650" spans="2:3" ht="11.25">
      <c r="B650" s="647"/>
      <c r="C650" s="651"/>
    </row>
    <row r="651" spans="2:3" ht="11.25">
      <c r="B651" s="647"/>
      <c r="C651" s="651"/>
    </row>
    <row r="652" spans="2:3" ht="11.25">
      <c r="B652" s="647"/>
      <c r="C652" s="651"/>
    </row>
    <row r="653" spans="2:3" ht="12.75">
      <c r="B653" s="652">
        <v>2.2</v>
      </c>
      <c r="C653" s="651" t="s">
        <v>177</v>
      </c>
    </row>
  </sheetData>
  <sheetProtection/>
  <mergeCells count="548">
    <mergeCell ref="B2:M2"/>
    <mergeCell ref="B544:Q544"/>
    <mergeCell ref="B572:B573"/>
    <mergeCell ref="B574:B575"/>
    <mergeCell ref="B564:B565"/>
    <mergeCell ref="B566:B567"/>
    <mergeCell ref="B568:B569"/>
    <mergeCell ref="B570:B571"/>
    <mergeCell ref="B556:B557"/>
    <mergeCell ref="B558:B559"/>
    <mergeCell ref="B560:B561"/>
    <mergeCell ref="B562:B563"/>
    <mergeCell ref="B3:I3"/>
    <mergeCell ref="C5:I5"/>
    <mergeCell ref="C7:I7"/>
    <mergeCell ref="B9:C10"/>
    <mergeCell ref="D9:F9"/>
    <mergeCell ref="B13:C13"/>
    <mergeCell ref="B14:C14"/>
    <mergeCell ref="B15:C15"/>
    <mergeCell ref="B22:C22"/>
    <mergeCell ref="B23:C23"/>
    <mergeCell ref="L9:N9"/>
    <mergeCell ref="I10:J10"/>
    <mergeCell ref="B11:C11"/>
    <mergeCell ref="B12:C12"/>
    <mergeCell ref="B16:C16"/>
    <mergeCell ref="B17:C17"/>
    <mergeCell ref="B18:C18"/>
    <mergeCell ref="B19:C19"/>
    <mergeCell ref="B20:C20"/>
    <mergeCell ref="B21:C21"/>
    <mergeCell ref="B34:C34"/>
    <mergeCell ref="B35:C35"/>
    <mergeCell ref="B24:C24"/>
    <mergeCell ref="B25:C25"/>
    <mergeCell ref="B26:C26"/>
    <mergeCell ref="B27:C27"/>
    <mergeCell ref="B28:C28"/>
    <mergeCell ref="B29:C29"/>
    <mergeCell ref="B42:C42"/>
    <mergeCell ref="B43:C43"/>
    <mergeCell ref="B30:C30"/>
    <mergeCell ref="B31:C31"/>
    <mergeCell ref="B32:C32"/>
    <mergeCell ref="B33:C33"/>
    <mergeCell ref="B36:C36"/>
    <mergeCell ref="B37:C37"/>
    <mergeCell ref="B38:C38"/>
    <mergeCell ref="B39:C39"/>
    <mergeCell ref="B40:C40"/>
    <mergeCell ref="B41:C41"/>
    <mergeCell ref="B58:C58"/>
    <mergeCell ref="B59:C59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44:C44"/>
    <mergeCell ref="B45:C45"/>
    <mergeCell ref="B46:C46"/>
    <mergeCell ref="B47:C47"/>
    <mergeCell ref="B70:C70"/>
    <mergeCell ref="B71:C71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82:C82"/>
    <mergeCell ref="B83:C83"/>
    <mergeCell ref="B72:C72"/>
    <mergeCell ref="B73:C73"/>
    <mergeCell ref="B74:C74"/>
    <mergeCell ref="B75:C75"/>
    <mergeCell ref="B76:C76"/>
    <mergeCell ref="B77:C77"/>
    <mergeCell ref="B90:C90"/>
    <mergeCell ref="B91:C91"/>
    <mergeCell ref="B78:C78"/>
    <mergeCell ref="B79:C79"/>
    <mergeCell ref="B80:C80"/>
    <mergeCell ref="B81:C81"/>
    <mergeCell ref="B84:C84"/>
    <mergeCell ref="B85:C85"/>
    <mergeCell ref="B86:C86"/>
    <mergeCell ref="B87:C87"/>
    <mergeCell ref="B88:C88"/>
    <mergeCell ref="B89:C89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92:C92"/>
    <mergeCell ref="B93:C93"/>
    <mergeCell ref="B94:C94"/>
    <mergeCell ref="B95:C95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38:C138"/>
    <mergeCell ref="B139:C139"/>
    <mergeCell ref="B126:C126"/>
    <mergeCell ref="B127:C127"/>
    <mergeCell ref="B128:C128"/>
    <mergeCell ref="B129:C129"/>
    <mergeCell ref="B132:C132"/>
    <mergeCell ref="B133:C133"/>
    <mergeCell ref="B134:C134"/>
    <mergeCell ref="B135:C135"/>
    <mergeCell ref="B136:C136"/>
    <mergeCell ref="B137:C137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40:C140"/>
    <mergeCell ref="B141:C141"/>
    <mergeCell ref="B142:C142"/>
    <mergeCell ref="B143:C143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86:C186"/>
    <mergeCell ref="B187:C187"/>
    <mergeCell ref="B174:C174"/>
    <mergeCell ref="B175:C175"/>
    <mergeCell ref="B176:C176"/>
    <mergeCell ref="B177:C177"/>
    <mergeCell ref="B180:C180"/>
    <mergeCell ref="B181:C181"/>
    <mergeCell ref="B182:C182"/>
    <mergeCell ref="B183:C183"/>
    <mergeCell ref="B184:C184"/>
    <mergeCell ref="B185:C185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188:C188"/>
    <mergeCell ref="B189:C189"/>
    <mergeCell ref="B190:C190"/>
    <mergeCell ref="B191:C191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34:C234"/>
    <mergeCell ref="B235:C235"/>
    <mergeCell ref="B222:C222"/>
    <mergeCell ref="B223:C223"/>
    <mergeCell ref="B224:C224"/>
    <mergeCell ref="B225:C225"/>
    <mergeCell ref="B228:C228"/>
    <mergeCell ref="B229:C229"/>
    <mergeCell ref="B230:C230"/>
    <mergeCell ref="B231:C231"/>
    <mergeCell ref="B232:C232"/>
    <mergeCell ref="B233:C233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36:C236"/>
    <mergeCell ref="B237:C237"/>
    <mergeCell ref="B238:C238"/>
    <mergeCell ref="B239:C239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82:C282"/>
    <mergeCell ref="B283:C283"/>
    <mergeCell ref="B270:C270"/>
    <mergeCell ref="B271:C271"/>
    <mergeCell ref="B272:C272"/>
    <mergeCell ref="B273:C273"/>
    <mergeCell ref="B276:C276"/>
    <mergeCell ref="B277:C277"/>
    <mergeCell ref="B278:C278"/>
    <mergeCell ref="B279:C279"/>
    <mergeCell ref="B280:C280"/>
    <mergeCell ref="B281:C281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84:C284"/>
    <mergeCell ref="B285:C285"/>
    <mergeCell ref="B286:C286"/>
    <mergeCell ref="B287:C287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30:C330"/>
    <mergeCell ref="B331:C331"/>
    <mergeCell ref="B318:C318"/>
    <mergeCell ref="B319:C319"/>
    <mergeCell ref="B320:C320"/>
    <mergeCell ref="B321:C321"/>
    <mergeCell ref="B324:C324"/>
    <mergeCell ref="B325:C325"/>
    <mergeCell ref="B326:C326"/>
    <mergeCell ref="B327:C327"/>
    <mergeCell ref="B328:C328"/>
    <mergeCell ref="B329:C329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32:C332"/>
    <mergeCell ref="B333:C333"/>
    <mergeCell ref="B334:C334"/>
    <mergeCell ref="B335:C335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78:C378"/>
    <mergeCell ref="B379:C379"/>
    <mergeCell ref="B366:C366"/>
    <mergeCell ref="B367:C367"/>
    <mergeCell ref="B368:C368"/>
    <mergeCell ref="B369:C369"/>
    <mergeCell ref="B372:C372"/>
    <mergeCell ref="B373:C373"/>
    <mergeCell ref="B374:C374"/>
    <mergeCell ref="B375:C375"/>
    <mergeCell ref="B376:C376"/>
    <mergeCell ref="B377:C377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80:C380"/>
    <mergeCell ref="B381:C381"/>
    <mergeCell ref="B382:C382"/>
    <mergeCell ref="B383:C383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26:C426"/>
    <mergeCell ref="B427:C427"/>
    <mergeCell ref="B414:C414"/>
    <mergeCell ref="B415:C415"/>
    <mergeCell ref="B416:C416"/>
    <mergeCell ref="B417:C417"/>
    <mergeCell ref="B420:C420"/>
    <mergeCell ref="B421:C421"/>
    <mergeCell ref="B422:C422"/>
    <mergeCell ref="B423:C423"/>
    <mergeCell ref="B424:C424"/>
    <mergeCell ref="B425:C425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28:C428"/>
    <mergeCell ref="B429:C429"/>
    <mergeCell ref="B430:C430"/>
    <mergeCell ref="B431:C431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74:C474"/>
    <mergeCell ref="B475:C475"/>
    <mergeCell ref="B462:C462"/>
    <mergeCell ref="B463:C463"/>
    <mergeCell ref="B464:C464"/>
    <mergeCell ref="B465:C465"/>
    <mergeCell ref="B468:C468"/>
    <mergeCell ref="B469:C469"/>
    <mergeCell ref="B470:C470"/>
    <mergeCell ref="B471:C471"/>
    <mergeCell ref="B472:C472"/>
    <mergeCell ref="B473:C473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76:C476"/>
    <mergeCell ref="B477:C477"/>
    <mergeCell ref="B478:C478"/>
    <mergeCell ref="B479:C479"/>
    <mergeCell ref="B506:C506"/>
    <mergeCell ref="B497:C497"/>
    <mergeCell ref="B492:C492"/>
    <mergeCell ref="B498:C498"/>
    <mergeCell ref="B499:C499"/>
    <mergeCell ref="B500:C500"/>
    <mergeCell ref="B493:C493"/>
    <mergeCell ref="B494:C494"/>
    <mergeCell ref="B495:C495"/>
    <mergeCell ref="B496:C496"/>
    <mergeCell ref="B1:P1"/>
    <mergeCell ref="B512:C512"/>
    <mergeCell ref="B501:C501"/>
    <mergeCell ref="B502:C502"/>
    <mergeCell ref="O9:P9"/>
    <mergeCell ref="B511:C511"/>
    <mergeCell ref="B503:C503"/>
    <mergeCell ref="B504:C504"/>
    <mergeCell ref="H9:H10"/>
    <mergeCell ref="B505:C505"/>
    <mergeCell ref="B537:C537"/>
    <mergeCell ref="B513:C513"/>
    <mergeCell ref="B507:C507"/>
    <mergeCell ref="B508:C508"/>
    <mergeCell ref="B509:C509"/>
    <mergeCell ref="B510:C510"/>
    <mergeCell ref="B515:C515"/>
    <mergeCell ref="B516:C516"/>
    <mergeCell ref="B550:C550"/>
    <mergeCell ref="B546:C546"/>
    <mergeCell ref="B547:C547"/>
    <mergeCell ref="B548:C548"/>
    <mergeCell ref="B549:C549"/>
    <mergeCell ref="B536:C536"/>
    <mergeCell ref="B539:C539"/>
    <mergeCell ref="B540:C540"/>
    <mergeCell ref="B542:C542"/>
    <mergeCell ref="B543:C543"/>
    <mergeCell ref="B541:C541"/>
    <mergeCell ref="B538:C538"/>
    <mergeCell ref="B514:C514"/>
    <mergeCell ref="B531:H531"/>
    <mergeCell ref="B532:C532"/>
    <mergeCell ref="B534:C534"/>
    <mergeCell ref="B533:C533"/>
    <mergeCell ref="B518:C518"/>
    <mergeCell ref="B517:C517"/>
    <mergeCell ref="B535:C535"/>
  </mergeCells>
  <conditionalFormatting sqref="P17:P20 P22:P142 P13:P15 P144:P157 P159:P170 P172:P179 P181:P195 P197:P201 P203:P210 P217:P223 P472:P515 P230:P233 P235:P293 P295:P345 P347:P431 P433:P465 P467:P470">
    <cfRule type="cellIs" priority="1" dxfId="1" operator="lessThan" stopIfTrue="1">
      <formula>0</formula>
    </cfRule>
  </conditionalFormatting>
  <conditionalFormatting sqref="C579:C583 E579:G583 D579:D585">
    <cfRule type="cellIs" priority="2" dxfId="0" operator="lessThan" stopIfTrue="1">
      <formula>0</formula>
    </cfRule>
  </conditionalFormatting>
  <printOptions horizontalCentered="1"/>
  <pageMargins left="0.64" right="0.7874015748031497" top="0.25" bottom="0.27" header="0.69" footer="0.24"/>
  <pageSetup horizontalDpi="600" verticalDpi="600" orientation="portrait" paperSize="21" scale="40" r:id="rId1"/>
  <rowBreaks count="1" manualBreakCount="1">
    <brk id="544" max="255" man="1"/>
  </rowBreaks>
  <colBreaks count="1" manualBreakCount="1">
    <brk id="17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49">
      <selection activeCell="B66" sqref="B66"/>
    </sheetView>
  </sheetViews>
  <sheetFormatPr defaultColWidth="9.140625" defaultRowHeight="12.75"/>
  <cols>
    <col min="1" max="1" width="45.57421875" style="0" customWidth="1"/>
    <col min="2" max="2" width="21.00390625" style="0" customWidth="1"/>
    <col min="3" max="3" width="15.28125" style="0" customWidth="1"/>
    <col min="4" max="4" width="10.28125" style="0" customWidth="1"/>
    <col min="5" max="5" width="8.8515625" style="0" customWidth="1"/>
    <col min="6" max="6" width="20.57421875" style="0" customWidth="1"/>
    <col min="7" max="7" width="15.28125" style="0" customWidth="1"/>
    <col min="8" max="8" width="13.421875" style="0" customWidth="1"/>
    <col min="9" max="9" width="14.8515625" style="0" customWidth="1"/>
    <col min="10" max="10" width="15.140625" style="0" customWidth="1"/>
    <col min="11" max="11" width="13.8515625" style="0" customWidth="1"/>
    <col min="12" max="12" width="14.28125" style="0" customWidth="1"/>
    <col min="13" max="13" width="11.7109375" style="0" bestFit="1" customWidth="1"/>
    <col min="14" max="14" width="11.57421875" style="0" customWidth="1"/>
    <col min="15" max="15" width="16.421875" style="0" customWidth="1"/>
  </cols>
  <sheetData>
    <row r="1" spans="1:13" ht="39" customHeight="1" thickBot="1">
      <c r="A1" s="1896" t="s">
        <v>1405</v>
      </c>
      <c r="B1" s="1897"/>
      <c r="C1" s="1897"/>
      <c r="D1" s="1897"/>
      <c r="E1" s="1897"/>
      <c r="F1" s="1897"/>
      <c r="G1" s="1897"/>
      <c r="H1" s="1897"/>
      <c r="I1" s="1897"/>
      <c r="J1" s="1897"/>
      <c r="K1" s="1898"/>
      <c r="L1" s="478">
        <v>2015</v>
      </c>
      <c r="M1" s="478">
        <v>2016</v>
      </c>
    </row>
    <row r="2" spans="1:13" ht="25.5" customHeight="1" thickBot="1">
      <c r="A2" s="470" t="s">
        <v>1404</v>
      </c>
      <c r="B2" s="471" t="s">
        <v>290</v>
      </c>
      <c r="C2" s="471">
        <v>2015</v>
      </c>
      <c r="D2" s="1892" t="s">
        <v>798</v>
      </c>
      <c r="E2" s="1893"/>
      <c r="F2" s="472" t="s">
        <v>175</v>
      </c>
      <c r="G2" s="479" t="s">
        <v>176</v>
      </c>
      <c r="H2" s="479" t="s">
        <v>177</v>
      </c>
      <c r="I2" s="473" t="s">
        <v>188</v>
      </c>
      <c r="J2" s="473" t="s">
        <v>178</v>
      </c>
      <c r="K2" s="474" t="s">
        <v>179</v>
      </c>
      <c r="L2" s="48">
        <v>1.067</v>
      </c>
      <c r="M2" s="48">
        <v>1.045</v>
      </c>
    </row>
    <row r="3" spans="1:14" ht="35.25" customHeight="1">
      <c r="A3" s="1299" t="s">
        <v>174</v>
      </c>
      <c r="B3" s="1300"/>
      <c r="C3" s="1301">
        <f>C5+C6</f>
        <v>3152.9999999999995</v>
      </c>
      <c r="D3" s="1302">
        <v>2015</v>
      </c>
      <c r="E3" s="1302">
        <v>2016</v>
      </c>
      <c r="F3" s="1303">
        <f>C3</f>
        <v>3152.9999999999995</v>
      </c>
      <c r="G3" s="1304">
        <f>2403928.8/1000</f>
        <v>2403.9287999999997</v>
      </c>
      <c r="H3" s="1304">
        <f>725319.96/1000</f>
        <v>725.3199599999999</v>
      </c>
      <c r="I3" s="1304">
        <f>1186.8/1000</f>
        <v>1.1867999999999999</v>
      </c>
      <c r="J3" s="1304">
        <f>720.72/1000</f>
        <v>0.72072</v>
      </c>
      <c r="K3" s="1305">
        <f>21843.72/1000</f>
        <v>21.84372</v>
      </c>
      <c r="L3" s="47">
        <f>C3/12</f>
        <v>262.74999999999994</v>
      </c>
      <c r="M3" s="47">
        <f>315299.5*12</f>
        <v>3783594</v>
      </c>
      <c r="N3" s="47">
        <f>C3*L2</f>
        <v>3364.2509999999993</v>
      </c>
    </row>
    <row r="4" spans="1:14" ht="12.75">
      <c r="A4" s="1899" t="s">
        <v>574</v>
      </c>
      <c r="B4" s="1900"/>
      <c r="C4" s="1900"/>
      <c r="D4" s="478"/>
      <c r="E4" s="478"/>
      <c r="F4" s="463"/>
      <c r="G4" s="49"/>
      <c r="H4" s="49"/>
      <c r="I4" s="49"/>
      <c r="J4" s="49"/>
      <c r="K4" s="55"/>
      <c r="L4" s="47"/>
      <c r="M4" s="47"/>
      <c r="N4" s="47">
        <f>N3*M2</f>
        <v>3515.642294999999</v>
      </c>
    </row>
    <row r="5" spans="1:14" ht="12" customHeight="1">
      <c r="A5" s="454" t="s">
        <v>792</v>
      </c>
      <c r="B5" s="468"/>
      <c r="C5" s="51">
        <f>3131156.28/1000</f>
        <v>3131.1562799999997</v>
      </c>
      <c r="D5" s="50"/>
      <c r="E5" s="50"/>
      <c r="F5" s="50"/>
      <c r="G5" s="49"/>
      <c r="H5" s="49"/>
      <c r="I5" s="49"/>
      <c r="J5" s="51"/>
      <c r="K5" s="455"/>
      <c r="L5" s="47"/>
      <c r="M5" s="47"/>
      <c r="N5" s="47"/>
    </row>
    <row r="6" spans="1:14" ht="15.75" customHeight="1">
      <c r="A6" s="456" t="s">
        <v>793</v>
      </c>
      <c r="B6" s="453"/>
      <c r="C6" s="51">
        <f>21843.72/1000</f>
        <v>21.84372</v>
      </c>
      <c r="D6" s="49"/>
      <c r="E6" s="49"/>
      <c r="F6" s="453"/>
      <c r="G6" s="1313">
        <f>G3/$F$3</f>
        <v>0.762425880114177</v>
      </c>
      <c r="H6" s="1313">
        <f>H3/$F$3</f>
        <v>0.230041217887726</v>
      </c>
      <c r="I6" s="823">
        <f>I3/$F$3</f>
        <v>0.00037640342530922933</v>
      </c>
      <c r="J6" s="823">
        <f>J3/$F$3</f>
        <v>0.00022858230256898196</v>
      </c>
      <c r="K6" s="824">
        <f>K3/$F$3</f>
        <v>0.0069279162702188405</v>
      </c>
      <c r="L6" s="47"/>
      <c r="M6" s="47"/>
      <c r="N6" s="47"/>
    </row>
    <row r="7" spans="1:14" ht="22.5" customHeight="1">
      <c r="A7" s="1306"/>
      <c r="B7" s="1312" t="s">
        <v>1314</v>
      </c>
      <c r="C7" s="1293">
        <f>2364750/1000</f>
        <v>2364.75</v>
      </c>
      <c r="D7" s="1291"/>
      <c r="E7" s="1291"/>
      <c r="F7" s="1293"/>
      <c r="G7" s="1293">
        <f>1183024.96/1000</f>
        <v>1183.02496</v>
      </c>
      <c r="H7" s="1293">
        <f>1166067.35/1000</f>
        <v>1166.06735</v>
      </c>
      <c r="I7" s="1293">
        <f>782.41/1000</f>
        <v>0.7824099999999999</v>
      </c>
      <c r="J7" s="1293">
        <f>475.14/1000</f>
        <v>0.47514</v>
      </c>
      <c r="K7" s="1307">
        <f>14400.14/1000</f>
        <v>14.400139999999999</v>
      </c>
      <c r="L7" s="47"/>
      <c r="M7" s="47"/>
      <c r="N7" s="47"/>
    </row>
    <row r="8" spans="1:14" ht="16.5" customHeight="1">
      <c r="A8" s="1306"/>
      <c r="B8" s="1294"/>
      <c r="C8" s="1293"/>
      <c r="D8" s="1291"/>
      <c r="E8" s="1291"/>
      <c r="F8" s="1292"/>
      <c r="G8" s="1311">
        <f>G7/C7</f>
        <v>0.5002748535786024</v>
      </c>
      <c r="H8" s="1311">
        <f>H7/C7</f>
        <v>0.49310385875885404</v>
      </c>
      <c r="I8" s="1311">
        <f>I7/C7</f>
        <v>0.00033086372766677236</v>
      </c>
      <c r="J8" s="1309">
        <f>J7/C7</f>
        <v>0.00020092610212496035</v>
      </c>
      <c r="K8" s="1310">
        <f>K7/C7</f>
        <v>0.006089497832751876</v>
      </c>
      <c r="L8" s="47"/>
      <c r="M8" s="47"/>
      <c r="N8" s="47"/>
    </row>
    <row r="9" spans="1:15" ht="19.5" customHeight="1">
      <c r="A9" s="1899" t="s">
        <v>575</v>
      </c>
      <c r="B9" s="1900"/>
      <c r="C9" s="1900"/>
      <c r="D9" s="50">
        <v>1.067</v>
      </c>
      <c r="E9" s="50">
        <v>1.045</v>
      </c>
      <c r="F9" s="458">
        <f>1.045*F3*D9</f>
        <v>3515.642294999999</v>
      </c>
      <c r="G9" s="458">
        <f>G6*F9</f>
        <v>2680.4166709319993</v>
      </c>
      <c r="H9" s="49">
        <f>H6*F9</f>
        <v>808.7426351993998</v>
      </c>
      <c r="I9" s="49">
        <f>I6*F9</f>
        <v>1.3232998019999997</v>
      </c>
      <c r="J9" s="49">
        <f>J6*F9</f>
        <v>0.8036136107999999</v>
      </c>
      <c r="K9" s="55">
        <f>K6*F9</f>
        <v>24.3560754558</v>
      </c>
      <c r="L9" s="47">
        <f>K9+J9+I9+H9+G9</f>
        <v>3515.642294999999</v>
      </c>
      <c r="M9" s="47">
        <f>C3*E9*D9</f>
        <v>3515.642294999999</v>
      </c>
      <c r="N9" s="1179">
        <f>C3-3468.2995</f>
        <v>-315.29950000000053</v>
      </c>
      <c r="O9" s="1180" t="s">
        <v>1214</v>
      </c>
    </row>
    <row r="10" spans="1:14" ht="22.5" customHeight="1">
      <c r="A10" s="1308" t="s">
        <v>180</v>
      </c>
      <c r="B10" s="1295"/>
      <c r="C10" s="464">
        <f>SUM(C11:C17)</f>
        <v>218.58328</v>
      </c>
      <c r="D10" s="460"/>
      <c r="E10" s="460"/>
      <c r="F10" s="458">
        <f>G10+H10+K10</f>
        <v>233.22835976000002</v>
      </c>
      <c r="G10" s="458">
        <f>G11+G12</f>
        <v>92.9446628</v>
      </c>
      <c r="H10" s="51">
        <f>H11+H12+H13+H14+H15+H16</f>
        <v>122.56389992000001</v>
      </c>
      <c r="I10" s="51"/>
      <c r="J10" s="51"/>
      <c r="K10" s="455">
        <f>K17</f>
        <v>17.719797039999996</v>
      </c>
      <c r="L10" s="47">
        <f>C10*1.045</f>
        <v>228.41952759999998</v>
      </c>
      <c r="M10" s="47"/>
      <c r="N10" s="47">
        <f>C3*L2*M2</f>
        <v>3515.642294999999</v>
      </c>
    </row>
    <row r="11" spans="1:14" ht="16.5" customHeight="1">
      <c r="A11" s="466" t="s">
        <v>181</v>
      </c>
      <c r="B11" s="52"/>
      <c r="C11" s="459">
        <f>3238.37*4/1000</f>
        <v>12.953479999999999</v>
      </c>
      <c r="D11" s="50">
        <v>1.067</v>
      </c>
      <c r="E11" s="462">
        <v>1</v>
      </c>
      <c r="F11" s="460"/>
      <c r="G11" s="51">
        <f>E11*C11*D11</f>
        <v>13.821363159999999</v>
      </c>
      <c r="H11" s="51"/>
      <c r="I11" s="51"/>
      <c r="J11" s="51"/>
      <c r="K11" s="455"/>
      <c r="L11" s="47"/>
      <c r="M11" s="47"/>
      <c r="N11" s="47"/>
    </row>
    <row r="12" spans="1:14" ht="12.75">
      <c r="A12" s="54" t="s">
        <v>182</v>
      </c>
      <c r="B12" s="53"/>
      <c r="C12" s="1296">
        <f>18538.73/1000*4</f>
        <v>74.15492</v>
      </c>
      <c r="D12" s="50">
        <v>1.067</v>
      </c>
      <c r="E12" s="462">
        <v>1</v>
      </c>
      <c r="F12" s="460"/>
      <c r="G12" s="51">
        <f>E12*C12*D12</f>
        <v>79.12329964</v>
      </c>
      <c r="H12" s="51"/>
      <c r="I12" s="51"/>
      <c r="J12" s="51"/>
      <c r="K12" s="455"/>
      <c r="L12" s="47"/>
      <c r="M12" s="47"/>
      <c r="N12" s="47"/>
    </row>
    <row r="13" spans="1:14" ht="12.75">
      <c r="A13" s="54" t="s">
        <v>183</v>
      </c>
      <c r="B13" s="53"/>
      <c r="C13" s="461">
        <f>265.99/1000*4</f>
        <v>1.06396</v>
      </c>
      <c r="D13" s="50">
        <v>1.067</v>
      </c>
      <c r="E13" s="462">
        <v>1</v>
      </c>
      <c r="F13" s="460"/>
      <c r="G13" s="460"/>
      <c r="H13" s="51">
        <f>E13*C13*D13</f>
        <v>1.13524532</v>
      </c>
      <c r="I13" s="51"/>
      <c r="J13" s="51"/>
      <c r="K13" s="455"/>
      <c r="L13" s="47"/>
      <c r="M13" s="47"/>
      <c r="N13" s="47"/>
    </row>
    <row r="14" spans="1:14" ht="12.75">
      <c r="A14" s="54" t="s">
        <v>184</v>
      </c>
      <c r="B14" s="53"/>
      <c r="C14" s="461">
        <f>278.6/1000*4</f>
        <v>1.1144</v>
      </c>
      <c r="D14" s="50">
        <v>1.067</v>
      </c>
      <c r="E14" s="462">
        <v>1</v>
      </c>
      <c r="F14" s="460"/>
      <c r="G14" s="460"/>
      <c r="H14" s="51">
        <f>E14*C14*D14</f>
        <v>1.1890648</v>
      </c>
      <c r="I14" s="51"/>
      <c r="J14" s="51"/>
      <c r="K14" s="455"/>
      <c r="L14" s="47"/>
      <c r="M14" s="47"/>
      <c r="N14" s="47">
        <f>315299.5/12</f>
        <v>26274.958333333332</v>
      </c>
    </row>
    <row r="15" spans="1:14" ht="10.5" customHeight="1">
      <c r="A15" s="54" t="s">
        <v>185</v>
      </c>
      <c r="B15" s="53"/>
      <c r="C15" s="1297">
        <f>257.61/1000*4</f>
        <v>1.03044</v>
      </c>
      <c r="D15" s="50">
        <v>1.067</v>
      </c>
      <c r="E15" s="462">
        <v>1</v>
      </c>
      <c r="F15" s="460"/>
      <c r="G15" s="460"/>
      <c r="H15" s="51">
        <f>E15*C15*D15</f>
        <v>1.09947948</v>
      </c>
      <c r="I15" s="51"/>
      <c r="J15" s="51"/>
      <c r="K15" s="455"/>
      <c r="L15" s="47"/>
      <c r="M15" s="47"/>
      <c r="N15" s="47"/>
    </row>
    <row r="16" spans="1:14" ht="12.75">
      <c r="A16" s="54" t="s">
        <v>186</v>
      </c>
      <c r="B16" s="49"/>
      <c r="C16" s="461">
        <f>27914.74*4/1000</f>
        <v>111.65896000000001</v>
      </c>
      <c r="D16" s="50">
        <v>1.067</v>
      </c>
      <c r="E16" s="462">
        <v>1</v>
      </c>
      <c r="F16" s="460"/>
      <c r="G16" s="460"/>
      <c r="H16" s="51">
        <f>E16*C16*D16</f>
        <v>119.14011032</v>
      </c>
      <c r="I16" s="51"/>
      <c r="J16" s="51"/>
      <c r="K16" s="455"/>
      <c r="L16" s="47"/>
      <c r="M16" s="47"/>
      <c r="N16" s="47"/>
    </row>
    <row r="17" spans="1:14" ht="17.25" customHeight="1">
      <c r="A17" s="54" t="s">
        <v>187</v>
      </c>
      <c r="B17" s="49"/>
      <c r="C17" s="1298">
        <f>4151.78*4/1000</f>
        <v>16.60712</v>
      </c>
      <c r="D17" s="50">
        <v>1.067</v>
      </c>
      <c r="E17" s="462">
        <v>1</v>
      </c>
      <c r="F17" s="460"/>
      <c r="G17" s="460"/>
      <c r="H17" s="51"/>
      <c r="I17" s="51"/>
      <c r="J17" s="51"/>
      <c r="K17" s="455">
        <f>E17*C17*D17</f>
        <v>17.719797039999996</v>
      </c>
      <c r="L17" s="47"/>
      <c r="M17" s="47"/>
      <c r="N17" s="47"/>
    </row>
    <row r="18" spans="1:14" ht="31.5" customHeight="1" thickBot="1">
      <c r="A18" s="475" t="s">
        <v>1203</v>
      </c>
      <c r="B18" s="476"/>
      <c r="C18" s="476">
        <f>C10+C3</f>
        <v>3371.5832799999994</v>
      </c>
      <c r="D18" s="476"/>
      <c r="E18" s="476"/>
      <c r="F18" s="476">
        <f>F10+F9</f>
        <v>3748.870654759999</v>
      </c>
      <c r="G18" s="476">
        <f>G9+G10</f>
        <v>2773.3613337319994</v>
      </c>
      <c r="H18" s="476">
        <f>H9+H10</f>
        <v>931.3065351193999</v>
      </c>
      <c r="I18" s="476"/>
      <c r="J18" s="476"/>
      <c r="K18" s="477">
        <f>K9+K10</f>
        <v>42.0758724958</v>
      </c>
      <c r="L18" s="47">
        <v>2350349.86</v>
      </c>
      <c r="M18" s="47">
        <v>14400.14</v>
      </c>
      <c r="N18" s="47">
        <f>M18+L18</f>
        <v>2364750</v>
      </c>
    </row>
    <row r="19" spans="1:14" ht="32.25" customHeight="1">
      <c r="A19" s="1894" t="s">
        <v>222</v>
      </c>
      <c r="B19" s="1895"/>
      <c r="C19" s="1895"/>
      <c r="D19" s="1895"/>
      <c r="E19" s="1895"/>
      <c r="F19" s="1895"/>
      <c r="G19" s="1895"/>
      <c r="H19" s="1895"/>
      <c r="I19" s="1895"/>
      <c r="J19" s="1895"/>
      <c r="K19" s="1895"/>
      <c r="L19" s="47"/>
      <c r="M19" s="47"/>
      <c r="N19" s="47"/>
    </row>
    <row r="20" spans="1:14" ht="31.5" customHeight="1">
      <c r="A20" s="465" t="s">
        <v>794</v>
      </c>
      <c r="B20" s="460"/>
      <c r="C20" s="451">
        <f>20201.73/1000*12</f>
        <v>242.42076000000003</v>
      </c>
      <c r="D20" s="462">
        <v>1.067</v>
      </c>
      <c r="E20" s="462">
        <v>1.045</v>
      </c>
      <c r="F20" s="460"/>
      <c r="G20" s="460"/>
      <c r="H20" s="460"/>
      <c r="I20" s="460">
        <f>C20*E20*D20</f>
        <v>270.30278371139997</v>
      </c>
      <c r="J20" s="460"/>
      <c r="K20" s="460"/>
      <c r="L20" s="47"/>
      <c r="M20" s="47">
        <f>0.23+0.76</f>
        <v>0.99</v>
      </c>
      <c r="N20" s="47"/>
    </row>
    <row r="21" spans="1:11" ht="18" customHeight="1">
      <c r="A21" s="465" t="s">
        <v>795</v>
      </c>
      <c r="B21" s="480"/>
      <c r="C21" s="464">
        <f>7049.94/1000*12</f>
        <v>84.59928</v>
      </c>
      <c r="D21" s="462">
        <v>1.067</v>
      </c>
      <c r="E21" s="462">
        <v>1.045</v>
      </c>
      <c r="F21" s="460"/>
      <c r="G21" s="460"/>
      <c r="H21" s="460"/>
      <c r="I21" s="460">
        <f>C21*E21*D21</f>
        <v>94.32946618919998</v>
      </c>
      <c r="J21" s="460"/>
      <c r="K21" s="460"/>
    </row>
    <row r="22" spans="1:11" ht="18" customHeight="1">
      <c r="A22" s="465" t="s">
        <v>796</v>
      </c>
      <c r="B22" s="480"/>
      <c r="C22" s="464">
        <f>20437.89*12/1000</f>
        <v>245.25467999999998</v>
      </c>
      <c r="D22" s="462">
        <v>1.067</v>
      </c>
      <c r="E22" s="462">
        <v>1.045</v>
      </c>
      <c r="F22" s="460"/>
      <c r="G22" s="460"/>
      <c r="H22" s="460"/>
      <c r="I22" s="460">
        <f>C22*E22*D22</f>
        <v>273.46264702019994</v>
      </c>
      <c r="J22" s="460"/>
      <c r="K22" s="460"/>
    </row>
    <row r="23" spans="1:13" ht="28.5" customHeight="1">
      <c r="A23" s="481" t="s">
        <v>797</v>
      </c>
      <c r="B23" s="480"/>
      <c r="C23" s="464">
        <f>8600.75/1000*12</f>
        <v>103.209</v>
      </c>
      <c r="D23" s="462">
        <v>1.067</v>
      </c>
      <c r="E23" s="462">
        <v>1.045</v>
      </c>
      <c r="F23" s="457"/>
      <c r="G23" s="457"/>
      <c r="H23" s="457"/>
      <c r="I23" s="460">
        <f>C23*E23*D23</f>
        <v>115.079583135</v>
      </c>
      <c r="J23" s="457"/>
      <c r="K23" s="457"/>
      <c r="L23" s="451">
        <v>103209</v>
      </c>
      <c r="M23" s="47">
        <f>L23</f>
        <v>103209</v>
      </c>
    </row>
    <row r="24" spans="1:11" ht="30" customHeight="1">
      <c r="A24" s="481" t="s">
        <v>801</v>
      </c>
      <c r="B24" s="480" t="s">
        <v>800</v>
      </c>
      <c r="C24" s="464">
        <f>58864.81/1000</f>
        <v>58.86481</v>
      </c>
      <c r="D24" s="462">
        <v>1.067</v>
      </c>
      <c r="E24" s="462">
        <v>1.045</v>
      </c>
      <c r="F24" s="457"/>
      <c r="G24" s="457"/>
      <c r="H24" s="457"/>
      <c r="I24" s="460">
        <f>C24*E24*D24</f>
        <v>65.63514612214999</v>
      </c>
      <c r="J24" s="457"/>
      <c r="K24" s="457"/>
    </row>
    <row r="25" ht="12.75">
      <c r="I25" s="47">
        <f>I24+I23+I22+I21+I20</f>
        <v>818.8096261779499</v>
      </c>
    </row>
    <row r="26" spans="2:13" ht="34.5" customHeight="1">
      <c r="B26" s="596" t="s">
        <v>30</v>
      </c>
      <c r="C26" s="464">
        <v>83837</v>
      </c>
      <c r="D26" s="457"/>
      <c r="E26" s="457"/>
      <c r="F26" s="597" t="s">
        <v>32</v>
      </c>
      <c r="I26" s="596" t="s">
        <v>30</v>
      </c>
      <c r="J26" s="464">
        <v>83837</v>
      </c>
      <c r="K26" s="457"/>
      <c r="L26" s="457"/>
      <c r="M26" s="597" t="s">
        <v>32</v>
      </c>
    </row>
    <row r="27" spans="1:13" ht="16.5" customHeight="1">
      <c r="A27" t="s">
        <v>679</v>
      </c>
      <c r="B27" s="598">
        <f>H52/K$55</f>
        <v>0.519959132292613</v>
      </c>
      <c r="C27" s="601">
        <f>C26*B27</f>
        <v>43591.8137740158</v>
      </c>
      <c r="D27" s="457"/>
      <c r="E27" s="457"/>
      <c r="F27" s="599">
        <f>C27/1000</f>
        <v>43.5918137740158</v>
      </c>
      <c r="G27" s="467">
        <f>F27+F28+F29+F30+F31</f>
        <v>83.60600176973873</v>
      </c>
      <c r="I27" s="598" t="e">
        <f>O52/R$55</f>
        <v>#DIV/0!</v>
      </c>
      <c r="J27" s="601" t="e">
        <f>J26*I27</f>
        <v>#DIV/0!</v>
      </c>
      <c r="K27" s="457"/>
      <c r="L27" s="457"/>
      <c r="M27" s="599" t="e">
        <f>J27/1000</f>
        <v>#DIV/0!</v>
      </c>
    </row>
    <row r="28" spans="1:13" ht="12.75">
      <c r="A28" t="s">
        <v>1062</v>
      </c>
      <c r="B28" s="598">
        <f>B51/K55</f>
        <v>0.25858493126799426</v>
      </c>
      <c r="C28" s="601">
        <f>C26*B28</f>
        <v>21678.984882714834</v>
      </c>
      <c r="D28" s="457"/>
      <c r="E28" s="457"/>
      <c r="F28" s="599">
        <f aca="true" t="shared" si="0" ref="F28:F33">C28/1000</f>
        <v>21.678984882714836</v>
      </c>
      <c r="I28" s="598" t="e">
        <f>I51/R55</f>
        <v>#DIV/0!</v>
      </c>
      <c r="J28" s="601" t="e">
        <f>J26*I28</f>
        <v>#DIV/0!</v>
      </c>
      <c r="K28" s="457"/>
      <c r="L28" s="457"/>
      <c r="M28" s="599" t="e">
        <f>J28/1000</f>
        <v>#DIV/0!</v>
      </c>
    </row>
    <row r="29" spans="1:13" ht="12.75">
      <c r="A29" t="s">
        <v>31</v>
      </c>
      <c r="B29" s="598">
        <f>B58/K55</f>
        <v>0.00031738726810802154</v>
      </c>
      <c r="C29" s="601">
        <f>C26*B29</f>
        <v>26.608796396372203</v>
      </c>
      <c r="D29" s="457"/>
      <c r="E29" s="457"/>
      <c r="F29" s="599">
        <f t="shared" si="0"/>
        <v>0.026608796396372203</v>
      </c>
      <c r="I29" s="598" t="e">
        <f>I58/R55</f>
        <v>#DIV/0!</v>
      </c>
      <c r="J29" s="601" t="e">
        <f>J26*I29</f>
        <v>#DIV/0!</v>
      </c>
      <c r="K29" s="457"/>
      <c r="L29" s="457"/>
      <c r="M29" s="599" t="e">
        <f>J29/1000</f>
        <v>#DIV/0!</v>
      </c>
    </row>
    <row r="30" spans="1:13" ht="18" customHeight="1">
      <c r="A30" s="594" t="s">
        <v>16</v>
      </c>
      <c r="B30" s="598">
        <f>B61/K55</f>
        <v>0.009193976379557699</v>
      </c>
      <c r="C30" s="601">
        <f>C26*B30</f>
        <v>770.7953977329788</v>
      </c>
      <c r="D30" s="457"/>
      <c r="E30" s="457"/>
      <c r="F30" s="599">
        <f t="shared" si="0"/>
        <v>0.7707953977329788</v>
      </c>
      <c r="I30" s="598" t="e">
        <f>I61/R55</f>
        <v>#DIV/0!</v>
      </c>
      <c r="J30" s="601" t="e">
        <f>J26*I30</f>
        <v>#DIV/0!</v>
      </c>
      <c r="K30" s="457"/>
      <c r="L30" s="457"/>
      <c r="M30" s="599" t="e">
        <f>J30/1000</f>
        <v>#DIV/0!</v>
      </c>
    </row>
    <row r="31" spans="1:13" ht="25.5">
      <c r="A31" s="594" t="s">
        <v>344</v>
      </c>
      <c r="B31" s="600">
        <f>K44/K55</f>
        <v>0.20918924721636908</v>
      </c>
      <c r="C31" s="601">
        <f>C26*B31</f>
        <v>17537.798918878736</v>
      </c>
      <c r="D31" s="599"/>
      <c r="E31" s="457"/>
      <c r="F31" s="599">
        <f t="shared" si="0"/>
        <v>17.537798918878735</v>
      </c>
      <c r="G31">
        <v>85318.71</v>
      </c>
      <c r="I31" s="600" t="e">
        <f>R44/R55</f>
        <v>#DIV/0!</v>
      </c>
      <c r="J31" s="601" t="e">
        <f>J26*I31</f>
        <v>#DIV/0!</v>
      </c>
      <c r="K31" s="599"/>
      <c r="L31" s="457"/>
      <c r="M31" s="599" t="e">
        <f>J31/1000</f>
        <v>#DIV/0!</v>
      </c>
    </row>
    <row r="32" spans="2:13" ht="12.75">
      <c r="B32" s="469"/>
      <c r="C32" s="601"/>
      <c r="D32" s="457"/>
      <c r="E32" s="457"/>
      <c r="F32" s="599"/>
      <c r="G32" s="595">
        <v>429.79</v>
      </c>
      <c r="I32" s="469"/>
      <c r="J32" s="601"/>
      <c r="K32" s="457"/>
      <c r="L32" s="457"/>
      <c r="M32" s="599"/>
    </row>
    <row r="33" spans="2:13" ht="12.75">
      <c r="B33" s="598">
        <f>K57/K55</f>
        <v>0.002755325575357906</v>
      </c>
      <c r="C33" s="601">
        <f>B33*C26</f>
        <v>230.99823026128078</v>
      </c>
      <c r="D33" s="452"/>
      <c r="E33" s="457"/>
      <c r="F33" s="599">
        <f t="shared" si="0"/>
        <v>0.23099823026128077</v>
      </c>
      <c r="G33" s="120">
        <f>G32+G31</f>
        <v>85748.5</v>
      </c>
      <c r="I33" s="598" t="e">
        <f>R57/R55</f>
        <v>#DIV/0!</v>
      </c>
      <c r="J33" s="601" t="e">
        <f>I33*J26</f>
        <v>#DIV/0!</v>
      </c>
      <c r="K33" s="452"/>
      <c r="L33" s="457"/>
      <c r="M33" s="599" t="e">
        <f>J33/1000</f>
        <v>#DIV/0!</v>
      </c>
    </row>
    <row r="34" spans="2:13" ht="12.75">
      <c r="B34" s="602">
        <f>B33+B32+B30+B29+B28+B27+B31</f>
        <v>1</v>
      </c>
      <c r="C34" s="464">
        <f>C33+C31+C30+C29+C27+C28</f>
        <v>83837</v>
      </c>
      <c r="D34" s="607">
        <f>D33+D31+D30+D29+D27+D28</f>
        <v>0</v>
      </c>
      <c r="E34" s="607">
        <f>E33+E31+E30+E29+E27+E28</f>
        <v>0</v>
      </c>
      <c r="F34" s="607">
        <f>F33+F31+F30+F29+F27+F28</f>
        <v>83.83699999999999</v>
      </c>
      <c r="G34" s="120">
        <f>G31+G32</f>
        <v>85748.5</v>
      </c>
      <c r="I34" s="602" t="e">
        <f>I33+I32+I30+I29+I28+I27+I31</f>
        <v>#DIV/0!</v>
      </c>
      <c r="J34" s="607" t="e">
        <f>J33+J31+J30+J29+J27+J28</f>
        <v>#DIV/0!</v>
      </c>
      <c r="K34" s="607">
        <f>K33+K31+K30+K29+K27+K28</f>
        <v>0</v>
      </c>
      <c r="L34" s="607">
        <f>L33+L31+L30+L29+L27+L28</f>
        <v>0</v>
      </c>
      <c r="M34" s="607" t="e">
        <f>M33+M31+M30+M29+M27+M28</f>
        <v>#DIV/0!</v>
      </c>
    </row>
    <row r="37" spans="1:3" ht="23.25" customHeight="1">
      <c r="A37" s="585" t="s">
        <v>17</v>
      </c>
      <c r="B37" s="584">
        <v>23720.34</v>
      </c>
      <c r="C37" s="1287">
        <v>23720.34</v>
      </c>
    </row>
    <row r="38" spans="1:7" ht="25.5">
      <c r="A38" s="585" t="s">
        <v>18</v>
      </c>
      <c r="B38" s="584">
        <v>127389.83</v>
      </c>
      <c r="F38" s="120"/>
      <c r="G38" s="120"/>
    </row>
    <row r="39" spans="1:3" ht="21" customHeight="1">
      <c r="A39" s="585" t="s">
        <v>21</v>
      </c>
      <c r="B39" s="584">
        <v>12454742.61</v>
      </c>
      <c r="C39" s="584">
        <v>16505219.58</v>
      </c>
    </row>
    <row r="40" spans="1:2" ht="25.5">
      <c r="A40" s="585" t="s">
        <v>22</v>
      </c>
      <c r="B40" s="584">
        <v>3217478.83</v>
      </c>
    </row>
    <row r="42" ht="12.75">
      <c r="B42" s="586">
        <f>B40+B39+B38+B37</f>
        <v>15823331.61</v>
      </c>
    </row>
    <row r="44" spans="1:11" ht="30" customHeight="1">
      <c r="A44" s="585" t="s">
        <v>22</v>
      </c>
      <c r="B44" s="584">
        <v>3217478.83</v>
      </c>
      <c r="C44" s="47"/>
      <c r="G44" s="585" t="s">
        <v>20</v>
      </c>
      <c r="H44" s="584">
        <v>14642274.01</v>
      </c>
      <c r="I44" s="584">
        <v>14656255.81</v>
      </c>
      <c r="J44" s="585" t="s">
        <v>344</v>
      </c>
      <c r="K44" s="584">
        <f>12450+K45</f>
        <v>13511504.71</v>
      </c>
    </row>
    <row r="45" spans="1:11" ht="27" customHeight="1">
      <c r="A45" s="585" t="s">
        <v>21</v>
      </c>
      <c r="B45" s="584">
        <v>12454742.61</v>
      </c>
      <c r="C45" s="47"/>
      <c r="G45" s="585" t="s">
        <v>19</v>
      </c>
      <c r="H45" s="584"/>
      <c r="J45" s="585" t="s">
        <v>34</v>
      </c>
      <c r="K45" s="586">
        <v>13499054.71</v>
      </c>
    </row>
    <row r="46" spans="1:9" ht="38.25" customHeight="1">
      <c r="A46" s="585" t="s">
        <v>18</v>
      </c>
      <c r="B46" s="584">
        <v>127389.83</v>
      </c>
      <c r="C46" s="47"/>
      <c r="G46" s="585" t="s">
        <v>24</v>
      </c>
      <c r="H46" s="584">
        <v>1364750.01</v>
      </c>
      <c r="I46" s="584">
        <v>4255725.68</v>
      </c>
    </row>
    <row r="47" spans="1:8" ht="25.5">
      <c r="A47" s="585" t="s">
        <v>23</v>
      </c>
      <c r="B47" s="584">
        <v>80486</v>
      </c>
      <c r="C47" s="1287">
        <v>80486</v>
      </c>
      <c r="G47" s="585" t="s">
        <v>25</v>
      </c>
      <c r="H47" s="584">
        <v>134991.66</v>
      </c>
    </row>
    <row r="48" spans="1:8" ht="57.75" customHeight="1">
      <c r="A48" s="585" t="s">
        <v>26</v>
      </c>
      <c r="B48" s="584">
        <v>464569.49</v>
      </c>
      <c r="G48" s="585" t="s">
        <v>27</v>
      </c>
      <c r="H48" s="584">
        <v>96384.75</v>
      </c>
    </row>
    <row r="49" spans="1:8" ht="63.75" customHeight="1">
      <c r="A49" s="585" t="s">
        <v>28</v>
      </c>
      <c r="B49" s="584">
        <v>333578.05</v>
      </c>
      <c r="G49" s="585" t="s">
        <v>14</v>
      </c>
      <c r="H49" s="584">
        <v>461231.48</v>
      </c>
    </row>
    <row r="50" spans="1:8" ht="20.25" customHeight="1">
      <c r="A50" s="585" t="s">
        <v>17</v>
      </c>
      <c r="B50" s="584">
        <v>23720.34</v>
      </c>
      <c r="C50" s="584">
        <v>23720.34</v>
      </c>
      <c r="G50" s="585" t="s">
        <v>29</v>
      </c>
      <c r="H50" s="584">
        <v>393077.26</v>
      </c>
    </row>
    <row r="51" spans="1:11" ht="76.5" customHeight="1">
      <c r="A51" s="585"/>
      <c r="B51" s="586">
        <f>B50+B49+B48+B47+B46+B45+B44</f>
        <v>16701965.15</v>
      </c>
      <c r="C51" s="586"/>
      <c r="G51" s="585" t="s">
        <v>13</v>
      </c>
      <c r="H51" s="584">
        <v>16491379.68</v>
      </c>
      <c r="K51" s="586">
        <f>K44</f>
        <v>13511504.71</v>
      </c>
    </row>
    <row r="52" ht="12.75">
      <c r="H52" s="120">
        <f>H45+H44+H46+H47+H48+H49+H50+H51</f>
        <v>33584088.85</v>
      </c>
    </row>
    <row r="53" spans="7:8" ht="12.75">
      <c r="G53" s="585"/>
      <c r="H53" s="584"/>
    </row>
    <row r="54" ht="12.75">
      <c r="K54" s="592">
        <f>B51+H52+K44+B61+B58</f>
        <v>64411896.38</v>
      </c>
    </row>
    <row r="55" ht="12.75">
      <c r="K55" s="587">
        <v>64589862.48</v>
      </c>
    </row>
    <row r="57" ht="12.75">
      <c r="K57" s="586">
        <f>K55-K54</f>
        <v>177966.09999999404</v>
      </c>
    </row>
    <row r="58" spans="1:11" ht="12.75">
      <c r="A58" s="590" t="s">
        <v>1406</v>
      </c>
      <c r="B58" s="591">
        <v>20500</v>
      </c>
      <c r="C58">
        <v>29506078.73</v>
      </c>
      <c r="F58" s="1290">
        <f>C58/C63</f>
        <v>0.650111583095258</v>
      </c>
      <c r="K58">
        <f>H52/K55</f>
        <v>0.519959132292613</v>
      </c>
    </row>
    <row r="59" spans="3:6" ht="12.75">
      <c r="C59">
        <v>15880097.27</v>
      </c>
      <c r="F59" s="1290">
        <f>C59/C63</f>
        <v>0.3498884169047421</v>
      </c>
    </row>
    <row r="61" spans="1:3" ht="12.75">
      <c r="A61" s="588" t="s">
        <v>1407</v>
      </c>
      <c r="B61" s="589">
        <v>593837.67</v>
      </c>
      <c r="C61">
        <f>C59+C58</f>
        <v>45386176</v>
      </c>
    </row>
    <row r="62" ht="12.75">
      <c r="C62">
        <f>C61</f>
        <v>45386176</v>
      </c>
    </row>
    <row r="63" ht="12.75">
      <c r="C63" s="587">
        <v>45386176</v>
      </c>
    </row>
    <row r="64" ht="12.75">
      <c r="C64" s="1289">
        <f>C63-C62</f>
        <v>0</v>
      </c>
    </row>
    <row r="65" spans="3:6" ht="12.75">
      <c r="C65" s="1288" t="s">
        <v>1313</v>
      </c>
      <c r="F65" s="593">
        <f>F31</f>
        <v>17.537798918878735</v>
      </c>
    </row>
    <row r="68" ht="12.75">
      <c r="C68" t="s">
        <v>1312</v>
      </c>
    </row>
  </sheetData>
  <sheetProtection/>
  <mergeCells count="5">
    <mergeCell ref="D2:E2"/>
    <mergeCell ref="A19:K19"/>
    <mergeCell ref="A1:K1"/>
    <mergeCell ref="A4:C4"/>
    <mergeCell ref="A9:C9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B1:T55"/>
  <sheetViews>
    <sheetView zoomScalePageLayoutView="0" workbookViewId="0" topLeftCell="A7">
      <selection activeCell="A55" sqref="A55:IV55"/>
    </sheetView>
  </sheetViews>
  <sheetFormatPr defaultColWidth="10.28125" defaultRowHeight="12.75"/>
  <cols>
    <col min="1" max="1" width="2.421875" style="483" customWidth="1"/>
    <col min="2" max="2" width="27.57421875" style="483" customWidth="1"/>
    <col min="3" max="3" width="18.8515625" style="483" customWidth="1"/>
    <col min="4" max="5" width="15.57421875" style="483" hidden="1" customWidth="1"/>
    <col min="6" max="6" width="15.28125" style="483" customWidth="1"/>
    <col min="7" max="7" width="12.8515625" style="483" customWidth="1"/>
    <col min="8" max="8" width="16.57421875" style="483" customWidth="1"/>
    <col min="9" max="9" width="17.57421875" style="483" customWidth="1"/>
    <col min="10" max="10" width="13.140625" style="483" customWidth="1"/>
    <col min="11" max="11" width="14.421875" style="483" customWidth="1"/>
    <col min="12" max="14" width="15.8515625" style="483" customWidth="1"/>
    <col min="15" max="15" width="8.140625" style="483" customWidth="1"/>
    <col min="16" max="16" width="8.7109375" style="483" customWidth="1"/>
    <col min="17" max="17" width="10.28125" style="483" customWidth="1"/>
    <col min="18" max="18" width="13.00390625" style="483" bestFit="1" customWidth="1"/>
    <col min="19" max="16384" width="10.28125" style="483" customWidth="1"/>
  </cols>
  <sheetData>
    <row r="1" spans="2:14" s="484" customFormat="1" ht="0.75" customHeight="1"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</row>
    <row r="2" spans="2:14" s="484" customFormat="1" ht="15.75" hidden="1"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</row>
    <row r="3" spans="2:14" s="484" customFormat="1" ht="20.25" customHeight="1">
      <c r="B3" s="485"/>
      <c r="L3" s="1913" t="s">
        <v>1311</v>
      </c>
      <c r="M3" s="1913"/>
      <c r="N3" s="1913"/>
    </row>
    <row r="4" spans="2:14" s="486" customFormat="1" ht="27" customHeight="1">
      <c r="B4" s="1914" t="s">
        <v>1408</v>
      </c>
      <c r="C4" s="1914"/>
      <c r="D4" s="1914"/>
      <c r="E4" s="1914"/>
      <c r="F4" s="1914"/>
      <c r="G4" s="1914"/>
      <c r="H4" s="1914"/>
      <c r="I4" s="1914"/>
      <c r="J4" s="1914"/>
      <c r="K4" s="1914"/>
      <c r="L4" s="1914"/>
      <c r="M4" s="1914"/>
      <c r="N4" s="1914"/>
    </row>
    <row r="5" spans="2:16" s="486" customFormat="1" ht="13.5" customHeight="1" thickBot="1">
      <c r="B5" s="487"/>
      <c r="O5" s="486">
        <v>1.067</v>
      </c>
      <c r="P5" s="486">
        <v>1.055</v>
      </c>
    </row>
    <row r="6" spans="2:14" s="488" customFormat="1" ht="33" customHeight="1">
      <c r="B6" s="1915" t="s">
        <v>803</v>
      </c>
      <c r="C6" s="1917" t="s">
        <v>804</v>
      </c>
      <c r="D6" s="1917"/>
      <c r="E6" s="1917"/>
      <c r="F6" s="1917" t="s">
        <v>805</v>
      </c>
      <c r="G6" s="1917"/>
      <c r="H6" s="1917"/>
      <c r="I6" s="1917" t="s">
        <v>806</v>
      </c>
      <c r="J6" s="1917"/>
      <c r="K6" s="1917"/>
      <c r="L6" s="1918" t="s">
        <v>807</v>
      </c>
      <c r="M6" s="1918"/>
      <c r="N6" s="1919"/>
    </row>
    <row r="7" spans="2:14" ht="67.5" customHeight="1">
      <c r="B7" s="1916"/>
      <c r="C7" s="489" t="s">
        <v>808</v>
      </c>
      <c r="D7" s="489" t="s">
        <v>809</v>
      </c>
      <c r="E7" s="489" t="s">
        <v>810</v>
      </c>
      <c r="F7" s="489" t="s">
        <v>808</v>
      </c>
      <c r="G7" s="489" t="s">
        <v>811</v>
      </c>
      <c r="H7" s="489" t="s">
        <v>810</v>
      </c>
      <c r="I7" s="489" t="s">
        <v>808</v>
      </c>
      <c r="J7" s="489" t="s">
        <v>811</v>
      </c>
      <c r="K7" s="489" t="s">
        <v>810</v>
      </c>
      <c r="L7" s="489" t="s">
        <v>808</v>
      </c>
      <c r="M7" s="489" t="s">
        <v>811</v>
      </c>
      <c r="N7" s="490" t="s">
        <v>810</v>
      </c>
    </row>
    <row r="8" spans="2:14" s="496" customFormat="1" ht="55.5" customHeight="1">
      <c r="B8" s="491" t="s">
        <v>812</v>
      </c>
      <c r="C8" s="492">
        <f>C9+C12</f>
        <v>1792.834</v>
      </c>
      <c r="D8" s="493">
        <f>D9+D12</f>
        <v>4.0424</v>
      </c>
      <c r="E8" s="493">
        <f>E9+E12</f>
        <v>3868.6455208</v>
      </c>
      <c r="F8" s="494">
        <f>F9+F12</f>
        <v>1647.749</v>
      </c>
      <c r="G8" s="495"/>
      <c r="H8" s="494">
        <f>H9+H12</f>
        <v>7569.05709567</v>
      </c>
      <c r="I8" s="494">
        <f>I9+I12</f>
        <v>1594.17843633558</v>
      </c>
      <c r="J8" s="493"/>
      <c r="K8" s="494">
        <f>K9+K12</f>
        <v>7560.129851598667</v>
      </c>
      <c r="L8" s="494">
        <f>L9+L12</f>
        <v>1792.834</v>
      </c>
      <c r="M8" s="495"/>
      <c r="N8" s="494">
        <f>N9+N12</f>
        <v>9277.278335719368</v>
      </c>
    </row>
    <row r="9" spans="2:19" s="496" customFormat="1" ht="18.75" customHeight="1">
      <c r="B9" s="497" t="s">
        <v>1225</v>
      </c>
      <c r="C9" s="498">
        <f>C10+C11</f>
        <v>835.817</v>
      </c>
      <c r="D9" s="493">
        <f>D10+D11</f>
        <v>0</v>
      </c>
      <c r="E9" s="493">
        <f>E10+E11</f>
        <v>0</v>
      </c>
      <c r="F9" s="498">
        <f>F10+F11</f>
        <v>799.179</v>
      </c>
      <c r="G9" s="499"/>
      <c r="H9" s="500">
        <f>H10+H11</f>
        <v>3624.3676014549455</v>
      </c>
      <c r="I9" s="498">
        <f>I10+I11</f>
        <v>677.7357067532973</v>
      </c>
      <c r="J9" s="501"/>
      <c r="K9" s="500">
        <f>K10+K11</f>
        <v>3176.8988313478076</v>
      </c>
      <c r="L9" s="498">
        <f>C9</f>
        <v>835.817</v>
      </c>
      <c r="M9" s="502"/>
      <c r="N9" s="500">
        <f>N10+N11</f>
        <v>4269.308767732928</v>
      </c>
      <c r="P9" s="503"/>
      <c r="R9" s="504">
        <f>'водоснабжение '!$J$82</f>
        <v>3624.3676014549455</v>
      </c>
      <c r="S9" s="504">
        <f>водоотведение!$G$61</f>
        <v>3944.6894942150543</v>
      </c>
    </row>
    <row r="10" spans="2:14" s="496" customFormat="1" ht="18.75" customHeight="1">
      <c r="B10" s="505" t="s">
        <v>813</v>
      </c>
      <c r="C10" s="506">
        <v>220.349</v>
      </c>
      <c r="D10" s="507"/>
      <c r="E10" s="499"/>
      <c r="F10" s="506">
        <v>214.855</v>
      </c>
      <c r="G10" s="499">
        <v>4.181491391431431</v>
      </c>
      <c r="H10" s="508">
        <f>G10*F10</f>
        <v>898.414332906</v>
      </c>
      <c r="I10" s="506">
        <v>124.58089077565117</v>
      </c>
      <c r="J10" s="499">
        <f>K10/I10</f>
        <v>4.264125</v>
      </c>
      <c r="K10" s="508">
        <v>531.2284908787235</v>
      </c>
      <c r="L10" s="506">
        <f>C10</f>
        <v>220.349</v>
      </c>
      <c r="M10" s="495">
        <f>G10*O5*P5</f>
        <v>4.70704213696349</v>
      </c>
      <c r="N10" s="508">
        <f>M10*L10</f>
        <v>1037.192027837768</v>
      </c>
    </row>
    <row r="11" spans="2:14" s="496" customFormat="1" ht="18.75" customHeight="1">
      <c r="B11" s="505" t="s">
        <v>814</v>
      </c>
      <c r="C11" s="822">
        <v>615.468</v>
      </c>
      <c r="D11" s="507"/>
      <c r="E11" s="499"/>
      <c r="F11" s="506">
        <v>584.324</v>
      </c>
      <c r="G11" s="499">
        <v>4.665140005457496</v>
      </c>
      <c r="H11" s="508">
        <f>G11*F11</f>
        <v>2725.9532685489457</v>
      </c>
      <c r="I11" s="506">
        <v>553.1548159776462</v>
      </c>
      <c r="J11" s="499">
        <f>K11/I11</f>
        <v>4.782875</v>
      </c>
      <c r="K11" s="508">
        <v>2645.6703404690843</v>
      </c>
      <c r="L11" s="506">
        <f>C11</f>
        <v>615.468</v>
      </c>
      <c r="M11" s="495">
        <f>G11*O5*P5</f>
        <v>5.251478127043421</v>
      </c>
      <c r="N11" s="508">
        <f>M11*L11</f>
        <v>3232.1167398951598</v>
      </c>
    </row>
    <row r="12" spans="2:16" s="496" customFormat="1" ht="23.25" customHeight="1">
      <c r="B12" s="497" t="s">
        <v>1226</v>
      </c>
      <c r="C12" s="498">
        <f>957017/1000</f>
        <v>957.017</v>
      </c>
      <c r="D12" s="499">
        <v>4.0424</v>
      </c>
      <c r="E12" s="499">
        <f>C12*D12</f>
        <v>3868.6455208</v>
      </c>
      <c r="F12" s="498">
        <f>F13</f>
        <v>848.57</v>
      </c>
      <c r="G12" s="501">
        <f>G13</f>
        <v>4.6486318090611904</v>
      </c>
      <c r="H12" s="500">
        <f>G12*F12</f>
        <v>3944.6894942150548</v>
      </c>
      <c r="I12" s="498">
        <f>I13</f>
        <v>916.4427295822826</v>
      </c>
      <c r="J12" s="501">
        <f>K12/I12</f>
        <v>4.782875</v>
      </c>
      <c r="K12" s="500">
        <v>4383.23102025086</v>
      </c>
      <c r="L12" s="498">
        <f>C12</f>
        <v>957.017</v>
      </c>
      <c r="M12" s="509">
        <f>G12*O5*P5</f>
        <v>5.232895097983045</v>
      </c>
      <c r="N12" s="500">
        <f>M12*L12</f>
        <v>5007.96956798644</v>
      </c>
      <c r="O12" s="510"/>
      <c r="P12" s="511"/>
    </row>
    <row r="13" spans="2:14" s="496" customFormat="1" ht="21.75" customHeight="1" thickBot="1">
      <c r="B13" s="512" t="s">
        <v>814</v>
      </c>
      <c r="C13" s="513">
        <v>957.018</v>
      </c>
      <c r="D13" s="514"/>
      <c r="E13" s="515"/>
      <c r="F13" s="513">
        <v>848.57</v>
      </c>
      <c r="G13" s="516">
        <v>4.6486318090611904</v>
      </c>
      <c r="H13" s="517">
        <f>G13*F13</f>
        <v>3944.6894942150548</v>
      </c>
      <c r="I13" s="513">
        <v>916.4427295822826</v>
      </c>
      <c r="J13" s="516">
        <f>K13/I13</f>
        <v>4.782875</v>
      </c>
      <c r="K13" s="517">
        <f>K12</f>
        <v>4383.23102025086</v>
      </c>
      <c r="L13" s="513">
        <f>C13</f>
        <v>957.018</v>
      </c>
      <c r="M13" s="518">
        <f>G13*O5*P5</f>
        <v>5.232895097983045</v>
      </c>
      <c r="N13" s="517">
        <f>M13*L13</f>
        <v>5007.974800881538</v>
      </c>
    </row>
    <row r="14" spans="2:20" s="496" customFormat="1" ht="11.25" customHeight="1" thickBot="1">
      <c r="B14" s="1908"/>
      <c r="C14" s="1909"/>
      <c r="D14" s="1909"/>
      <c r="E14" s="1909"/>
      <c r="F14" s="1909"/>
      <c r="G14" s="1909"/>
      <c r="H14" s="1909"/>
      <c r="I14" s="1909"/>
      <c r="J14" s="1909"/>
      <c r="K14" s="1909"/>
      <c r="L14" s="1909"/>
      <c r="M14" s="1909"/>
      <c r="N14" s="1910"/>
      <c r="Q14" s="1911" t="s">
        <v>815</v>
      </c>
      <c r="R14" s="1911"/>
      <c r="S14" s="1911"/>
      <c r="T14" s="1911"/>
    </row>
    <row r="15" spans="2:20" s="496" customFormat="1" ht="38.25" customHeight="1" thickBot="1">
      <c r="B15" s="519" t="s">
        <v>43</v>
      </c>
      <c r="C15" s="520">
        <f>10450/1000</f>
        <v>10.45</v>
      </c>
      <c r="D15" s="521"/>
      <c r="E15" s="522">
        <f>E16+E17</f>
        <v>2.355559611115602</v>
      </c>
      <c r="F15" s="520">
        <v>11.438</v>
      </c>
      <c r="G15" s="523">
        <v>4.611239292446232</v>
      </c>
      <c r="H15" s="524">
        <f>G15*F15</f>
        <v>52.74335502700001</v>
      </c>
      <c r="I15" s="525"/>
      <c r="J15" s="526"/>
      <c r="K15" s="524">
        <v>53.491368</v>
      </c>
      <c r="L15" s="527">
        <f>C15</f>
        <v>10.45</v>
      </c>
      <c r="M15" s="528">
        <f>G15*O5*P5</f>
        <v>5.190802902917336</v>
      </c>
      <c r="N15" s="529">
        <f>M15*L15</f>
        <v>54.24389033548616</v>
      </c>
      <c r="Q15" s="530">
        <v>2013</v>
      </c>
      <c r="R15" s="530">
        <v>2014</v>
      </c>
      <c r="S15" s="531" t="s">
        <v>44</v>
      </c>
      <c r="T15" s="531" t="s">
        <v>45</v>
      </c>
    </row>
    <row r="16" spans="2:20" s="496" customFormat="1" ht="18.75" customHeight="1" hidden="1">
      <c r="B16" s="532" t="s">
        <v>1225</v>
      </c>
      <c r="C16" s="508">
        <f>C15*Q16</f>
        <v>4.291916273964945</v>
      </c>
      <c r="D16" s="531"/>
      <c r="E16" s="533"/>
      <c r="F16" s="508">
        <f>F15*R16</f>
        <v>5.37751110353367</v>
      </c>
      <c r="G16" s="499"/>
      <c r="H16" s="534">
        <f>H15*R16</f>
        <v>24.796990496180356</v>
      </c>
      <c r="I16" s="507"/>
      <c r="J16" s="499"/>
      <c r="K16" s="534">
        <f>K15*S16</f>
        <v>23.070453905361074</v>
      </c>
      <c r="L16" s="530"/>
      <c r="M16" s="495"/>
      <c r="N16" s="534">
        <f>N15*T16</f>
        <v>24.21128567575728</v>
      </c>
      <c r="Q16" s="535">
        <v>0.4107096912885115</v>
      </c>
      <c r="R16" s="535">
        <v>0.47014435246840963</v>
      </c>
      <c r="S16" s="535">
        <v>0.4312930247990867</v>
      </c>
      <c r="T16" s="535">
        <v>0.44634124739239706</v>
      </c>
    </row>
    <row r="17" spans="2:20" s="496" customFormat="1" ht="18.75" customHeight="1" hidden="1" thickBot="1">
      <c r="B17" s="536" t="s">
        <v>1226</v>
      </c>
      <c r="C17" s="508">
        <f>C15*Q17</f>
        <v>6.089352349138641</v>
      </c>
      <c r="D17" s="533">
        <v>4.0424</v>
      </c>
      <c r="E17" s="533">
        <f>Q17*D17</f>
        <v>2.355559611115602</v>
      </c>
      <c r="F17" s="508">
        <f>F15*R17</f>
        <v>5.94117871659514</v>
      </c>
      <c r="G17" s="499"/>
      <c r="H17" s="534">
        <f>H15*R17</f>
        <v>27.396196741408787</v>
      </c>
      <c r="I17" s="537"/>
      <c r="J17" s="499"/>
      <c r="K17" s="534">
        <f>K16*S17</f>
        <v>12.351080838848059</v>
      </c>
      <c r="L17" s="507"/>
      <c r="M17" s="495"/>
      <c r="N17" s="534">
        <f>N15*T17</f>
        <v>28.359931553799946</v>
      </c>
      <c r="Q17" s="538">
        <v>0.5827131434582432</v>
      </c>
      <c r="R17" s="538">
        <v>0.5194246123968473</v>
      </c>
      <c r="S17" s="538">
        <v>0.535363581900655</v>
      </c>
      <c r="T17" s="538">
        <v>0.5228225958425954</v>
      </c>
    </row>
    <row r="18" spans="2:20" s="544" customFormat="1" ht="23.25" customHeight="1" thickBot="1">
      <c r="B18" s="539" t="s">
        <v>46</v>
      </c>
      <c r="C18" s="540">
        <f>C15+C8</f>
        <v>1803.284</v>
      </c>
      <c r="D18" s="541"/>
      <c r="E18" s="541">
        <f>E8+E13+E15</f>
        <v>3871.0010804111157</v>
      </c>
      <c r="F18" s="540">
        <f>F15+F8</f>
        <v>1659.1870000000001</v>
      </c>
      <c r="G18" s="541"/>
      <c r="H18" s="540">
        <f>H15+H8</f>
        <v>7621.800450697</v>
      </c>
      <c r="I18" s="540">
        <f>I15+I8</f>
        <v>1594.17843633558</v>
      </c>
      <c r="J18" s="541"/>
      <c r="K18" s="540">
        <f>K15+K8</f>
        <v>7613.621219598667</v>
      </c>
      <c r="L18" s="540">
        <f>L15+L8</f>
        <v>1803.284</v>
      </c>
      <c r="M18" s="542"/>
      <c r="N18" s="543">
        <f>N15+N8</f>
        <v>9331.522226054854</v>
      </c>
      <c r="Q18" s="538">
        <v>0.006577165253245353</v>
      </c>
      <c r="R18" s="538">
        <v>0.01043103513474296</v>
      </c>
      <c r="S18" s="538">
        <v>0.03334339330025824</v>
      </c>
      <c r="T18" s="538">
        <v>0.030836156765007616</v>
      </c>
    </row>
    <row r="19" spans="2:14" s="544" customFormat="1" ht="20.25" customHeight="1" hidden="1">
      <c r="B19" s="545" t="s">
        <v>1225</v>
      </c>
      <c r="C19" s="546">
        <f>C16+C9</f>
        <v>840.108916273965</v>
      </c>
      <c r="D19" s="546">
        <f>D16+D9</f>
        <v>0</v>
      </c>
      <c r="E19" s="546">
        <f>E16+E9</f>
        <v>0</v>
      </c>
      <c r="F19" s="546">
        <f>F16+F9</f>
        <v>804.5565111035337</v>
      </c>
      <c r="G19" s="546"/>
      <c r="H19" s="546">
        <f>H16+H9</f>
        <v>3649.164591951126</v>
      </c>
      <c r="I19" s="546">
        <f>I16+I9</f>
        <v>677.7357067532973</v>
      </c>
      <c r="J19" s="546"/>
      <c r="K19" s="546">
        <f>K16+K9</f>
        <v>3199.9692852531684</v>
      </c>
      <c r="L19" s="546">
        <f>L16+L9</f>
        <v>835.817</v>
      </c>
      <c r="M19" s="546"/>
      <c r="N19" s="547">
        <f>N16+N9</f>
        <v>4293.520053408685</v>
      </c>
    </row>
    <row r="20" spans="2:14" s="544" customFormat="1" ht="20.25" customHeight="1" hidden="1" thickBot="1">
      <c r="B20" s="536" t="s">
        <v>1226</v>
      </c>
      <c r="C20" s="548">
        <f>C17+C12</f>
        <v>963.1063523491387</v>
      </c>
      <c r="D20" s="548">
        <f>D17+D12</f>
        <v>8.0848</v>
      </c>
      <c r="E20" s="548">
        <f>E17+E12</f>
        <v>3871.0010804111157</v>
      </c>
      <c r="F20" s="548">
        <f>F17+F12</f>
        <v>854.5111787165952</v>
      </c>
      <c r="G20" s="548"/>
      <c r="H20" s="548">
        <f>H17+H12</f>
        <v>3972.0856909564636</v>
      </c>
      <c r="I20" s="548">
        <f>I17+I12</f>
        <v>916.4427295822826</v>
      </c>
      <c r="J20" s="548"/>
      <c r="K20" s="548">
        <f>K17+K12</f>
        <v>4395.582101089708</v>
      </c>
      <c r="L20" s="548">
        <f>L17+L12</f>
        <v>957.017</v>
      </c>
      <c r="M20" s="548"/>
      <c r="N20" s="549">
        <f>N17+N12</f>
        <v>5036.32949954024</v>
      </c>
    </row>
    <row r="21" spans="3:6" ht="21.75" customHeight="1">
      <c r="C21" s="550"/>
      <c r="F21" s="551"/>
    </row>
    <row r="22" spans="2:9" ht="18.75" customHeight="1">
      <c r="B22" s="1901"/>
      <c r="C22" s="1902"/>
      <c r="D22" s="1902"/>
      <c r="E22" s="1901"/>
      <c r="F22" s="1902"/>
      <c r="G22" s="1902"/>
      <c r="H22" s="1903"/>
      <c r="I22" s="1903"/>
    </row>
    <row r="23" spans="2:14" ht="36.75" customHeight="1">
      <c r="B23" s="1912"/>
      <c r="C23" s="1912"/>
      <c r="D23" s="1912"/>
      <c r="E23" s="1912"/>
      <c r="F23" s="1912"/>
      <c r="G23" s="1912"/>
      <c r="H23" s="1912"/>
      <c r="I23" s="1912"/>
      <c r="J23" s="1912"/>
      <c r="K23" s="1912"/>
      <c r="L23" s="1912"/>
      <c r="M23" s="1912"/>
      <c r="N23" s="1912"/>
    </row>
    <row r="24" spans="2:8" ht="14.25" customHeight="1">
      <c r="B24" s="553"/>
      <c r="C24" s="552"/>
      <c r="D24" s="552"/>
      <c r="E24" s="552"/>
      <c r="F24" s="552"/>
      <c r="G24" s="552"/>
      <c r="H24" s="554"/>
    </row>
    <row r="25" spans="3:14" s="484" customFormat="1" ht="28.5" customHeight="1" hidden="1">
      <c r="C25" s="555"/>
      <c r="D25" s="556"/>
      <c r="E25" s="556"/>
      <c r="F25" s="554"/>
      <c r="G25" s="554"/>
      <c r="H25" s="554"/>
      <c r="L25" s="1906" t="s">
        <v>48</v>
      </c>
      <c r="M25" s="1906"/>
      <c r="N25" s="1906"/>
    </row>
    <row r="26" spans="2:14" s="486" customFormat="1" ht="26.25" customHeight="1" hidden="1">
      <c r="B26" s="1907" t="s">
        <v>49</v>
      </c>
      <c r="C26" s="1907"/>
      <c r="D26" s="1907"/>
      <c r="E26" s="1907"/>
      <c r="F26" s="1907"/>
      <c r="G26" s="1907"/>
      <c r="H26" s="1907"/>
      <c r="I26" s="1907"/>
      <c r="J26" s="1907"/>
      <c r="K26" s="1907"/>
      <c r="L26" s="1907"/>
      <c r="M26" s="1907"/>
      <c r="N26" s="1907"/>
    </row>
    <row r="27" s="486" customFormat="1" ht="8.25" customHeight="1" hidden="1">
      <c r="B27" s="487"/>
    </row>
    <row r="28" spans="2:14" s="488" customFormat="1" ht="57" customHeight="1" hidden="1">
      <c r="B28" s="1904" t="s">
        <v>803</v>
      </c>
      <c r="C28" s="1905" t="s">
        <v>50</v>
      </c>
      <c r="D28" s="1905"/>
      <c r="E28" s="1905"/>
      <c r="F28" s="1905" t="s">
        <v>51</v>
      </c>
      <c r="G28" s="1905"/>
      <c r="H28" s="1905"/>
      <c r="I28" s="1905" t="s">
        <v>52</v>
      </c>
      <c r="J28" s="1905"/>
      <c r="K28" s="1905"/>
      <c r="L28" s="1904" t="s">
        <v>53</v>
      </c>
      <c r="M28" s="1904"/>
      <c r="N28" s="1904"/>
    </row>
    <row r="29" spans="2:14" ht="67.5" customHeight="1" hidden="1">
      <c r="B29" s="1904"/>
      <c r="C29" s="557" t="s">
        <v>54</v>
      </c>
      <c r="D29" s="557" t="s">
        <v>811</v>
      </c>
      <c r="E29" s="557" t="s">
        <v>810</v>
      </c>
      <c r="F29" s="557" t="s">
        <v>54</v>
      </c>
      <c r="G29" s="557" t="s">
        <v>811</v>
      </c>
      <c r="H29" s="557" t="s">
        <v>810</v>
      </c>
      <c r="I29" s="557" t="s">
        <v>54</v>
      </c>
      <c r="J29" s="557" t="s">
        <v>811</v>
      </c>
      <c r="K29" s="557" t="s">
        <v>810</v>
      </c>
      <c r="L29" s="557" t="s">
        <v>54</v>
      </c>
      <c r="M29" s="557" t="s">
        <v>811</v>
      </c>
      <c r="N29" s="557" t="s">
        <v>810</v>
      </c>
    </row>
    <row r="30" spans="2:14" s="496" customFormat="1" ht="58.5" customHeight="1" hidden="1">
      <c r="B30" s="558" t="s">
        <v>812</v>
      </c>
      <c r="C30" s="559">
        <f>C31+C32</f>
        <v>1027.12</v>
      </c>
      <c r="D30" s="560"/>
      <c r="E30" s="559">
        <f>E31+E32</f>
        <v>4152.049888</v>
      </c>
      <c r="F30" s="559">
        <f>F31+F32</f>
        <v>1021.6270000000001</v>
      </c>
      <c r="G30" s="559">
        <f>G32</f>
        <v>3.74744648</v>
      </c>
      <c r="H30" s="559">
        <f>H31+H32</f>
        <v>3828.49250502296</v>
      </c>
      <c r="I30" s="561">
        <f>I31+I32</f>
        <v>839.4</v>
      </c>
      <c r="J30" s="560"/>
      <c r="K30" s="561">
        <f>K31+K32</f>
        <v>3428.767063011067</v>
      </c>
      <c r="L30" s="560">
        <f>L31+L32</f>
        <v>1030</v>
      </c>
      <c r="M30" s="559">
        <f>M32</f>
        <v>4.61685406336</v>
      </c>
      <c r="N30" s="562">
        <f>N31+N32</f>
        <v>4755.3596852608</v>
      </c>
    </row>
    <row r="31" spans="2:14" s="496" customFormat="1" ht="18.75" customHeight="1" hidden="1">
      <c r="B31" s="563" t="s">
        <v>55</v>
      </c>
      <c r="C31" s="560"/>
      <c r="D31" s="564"/>
      <c r="E31" s="565"/>
      <c r="F31" s="565"/>
      <c r="G31" s="565"/>
      <c r="H31" s="565"/>
      <c r="I31" s="566"/>
      <c r="J31" s="565"/>
      <c r="K31" s="567"/>
      <c r="L31" s="560"/>
      <c r="M31" s="559"/>
      <c r="N31" s="562"/>
    </row>
    <row r="32" spans="2:14" s="496" customFormat="1" ht="18.75" customHeight="1" hidden="1">
      <c r="B32" s="568" t="s">
        <v>56</v>
      </c>
      <c r="C32" s="565">
        <v>1027.12</v>
      </c>
      <c r="D32" s="565">
        <v>4.0424</v>
      </c>
      <c r="E32" s="565">
        <f>C32*D32+0.02</f>
        <v>4152.049888</v>
      </c>
      <c r="F32" s="565">
        <f>1012.287+9.34</f>
        <v>1021.6270000000001</v>
      </c>
      <c r="G32" s="565">
        <v>3.74744648</v>
      </c>
      <c r="H32" s="565">
        <f>F32*G32</f>
        <v>3828.49250502296</v>
      </c>
      <c r="I32" s="566">
        <v>839.4</v>
      </c>
      <c r="J32" s="565">
        <v>4.0847832535276</v>
      </c>
      <c r="K32" s="567">
        <f>I32*J32</f>
        <v>3428.767063011067</v>
      </c>
      <c r="L32" s="564">
        <f>1030+L35</f>
        <v>1030</v>
      </c>
      <c r="M32" s="569">
        <f>G32*1.1*1.12</f>
        <v>4.61685406336</v>
      </c>
      <c r="N32" s="566">
        <f>L32*M32</f>
        <v>4755.3596852608</v>
      </c>
    </row>
    <row r="33" spans="2:14" s="496" customFormat="1" ht="21.75" customHeight="1" hidden="1">
      <c r="B33" s="558" t="s">
        <v>57</v>
      </c>
      <c r="C33" s="559"/>
      <c r="D33" s="560"/>
      <c r="E33" s="559"/>
      <c r="F33" s="559">
        <f>F34+F35</f>
        <v>0</v>
      </c>
      <c r="G33" s="559">
        <f>G34+G35</f>
        <v>0</v>
      </c>
      <c r="H33" s="559">
        <f>H34+H35</f>
        <v>0</v>
      </c>
      <c r="I33" s="562">
        <f>I34+I35</f>
        <v>0</v>
      </c>
      <c r="J33" s="559"/>
      <c r="K33" s="561">
        <f>K34+K35</f>
        <v>0</v>
      </c>
      <c r="L33" s="560">
        <f>L34+L35</f>
        <v>0</v>
      </c>
      <c r="M33" s="570"/>
      <c r="N33" s="562">
        <f>N34+N35</f>
        <v>0</v>
      </c>
    </row>
    <row r="34" spans="2:14" s="496" customFormat="1" ht="18.75" customHeight="1" hidden="1">
      <c r="B34" s="563" t="s">
        <v>55</v>
      </c>
      <c r="C34" s="560"/>
      <c r="D34" s="564"/>
      <c r="E34" s="565"/>
      <c r="F34" s="565"/>
      <c r="G34" s="565"/>
      <c r="H34" s="565"/>
      <c r="I34" s="566"/>
      <c r="J34" s="565"/>
      <c r="K34" s="567"/>
      <c r="L34" s="560"/>
      <c r="M34" s="570"/>
      <c r="N34" s="562"/>
    </row>
    <row r="35" spans="2:14" s="496" customFormat="1" ht="18.75" customHeight="1" hidden="1">
      <c r="B35" s="568" t="s">
        <v>56</v>
      </c>
      <c r="C35" s="565"/>
      <c r="D35" s="565"/>
      <c r="E35" s="565"/>
      <c r="F35" s="565"/>
      <c r="G35" s="565"/>
      <c r="H35" s="565"/>
      <c r="I35" s="566"/>
      <c r="J35" s="565"/>
      <c r="K35" s="567"/>
      <c r="L35" s="564"/>
      <c r="M35" s="569"/>
      <c r="N35" s="566"/>
    </row>
    <row r="36" spans="2:14" s="496" customFormat="1" ht="38.25" customHeight="1" hidden="1">
      <c r="B36" s="558" t="s">
        <v>43</v>
      </c>
      <c r="C36" s="559">
        <f>C37+C38</f>
        <v>4.1</v>
      </c>
      <c r="D36" s="560"/>
      <c r="E36" s="559">
        <f>E37+E38</f>
        <v>16.573839999999997</v>
      </c>
      <c r="F36" s="559">
        <f>F37+F38</f>
        <v>5.0533</v>
      </c>
      <c r="G36" s="559">
        <f>G37+G38</f>
        <v>3.75</v>
      </c>
      <c r="H36" s="559">
        <f>H37+H38</f>
        <v>18.949875</v>
      </c>
      <c r="I36" s="562"/>
      <c r="J36" s="559"/>
      <c r="K36" s="561"/>
      <c r="L36" s="560">
        <f>L37+L38</f>
        <v>5</v>
      </c>
      <c r="M36" s="570">
        <f>M33</f>
        <v>0</v>
      </c>
      <c r="N36" s="562">
        <f>N37+N38</f>
        <v>23.0842703168</v>
      </c>
    </row>
    <row r="37" spans="2:14" s="496" customFormat="1" ht="18.75" customHeight="1" hidden="1">
      <c r="B37" s="563" t="s">
        <v>55</v>
      </c>
      <c r="C37" s="560"/>
      <c r="D37" s="564"/>
      <c r="E37" s="565"/>
      <c r="F37" s="565"/>
      <c r="G37" s="565"/>
      <c r="H37" s="565"/>
      <c r="I37" s="566"/>
      <c r="J37" s="565"/>
      <c r="K37" s="567"/>
      <c r="L37" s="560"/>
      <c r="M37" s="570"/>
      <c r="N37" s="562"/>
    </row>
    <row r="38" spans="2:14" s="496" customFormat="1" ht="18.75" customHeight="1" hidden="1">
      <c r="B38" s="568" t="s">
        <v>56</v>
      </c>
      <c r="C38" s="565">
        <v>4.1</v>
      </c>
      <c r="D38" s="565">
        <v>4.0424</v>
      </c>
      <c r="E38" s="565">
        <f>C38*D38</f>
        <v>16.573839999999997</v>
      </c>
      <c r="F38" s="565">
        <v>5.0533</v>
      </c>
      <c r="G38" s="565">
        <v>3.75</v>
      </c>
      <c r="H38" s="565">
        <f>F38*G38</f>
        <v>18.949875</v>
      </c>
      <c r="I38" s="566">
        <v>4.1</v>
      </c>
      <c r="J38" s="565">
        <f>J32</f>
        <v>4.0847832535276</v>
      </c>
      <c r="K38" s="567">
        <f>I38*J38</f>
        <v>16.747611339463155</v>
      </c>
      <c r="L38" s="564">
        <v>5</v>
      </c>
      <c r="M38" s="569">
        <f>M32</f>
        <v>4.61685406336</v>
      </c>
      <c r="N38" s="566">
        <f>L38*M38</f>
        <v>23.0842703168</v>
      </c>
    </row>
    <row r="39" spans="2:14" s="496" customFormat="1" ht="21.75" customHeight="1" hidden="1">
      <c r="B39" s="571" t="s">
        <v>58</v>
      </c>
      <c r="C39" s="572">
        <f>C30+C33+C36</f>
        <v>1031.2199999999998</v>
      </c>
      <c r="D39" s="572"/>
      <c r="E39" s="572">
        <f>E30+E33+E36</f>
        <v>4168.623728</v>
      </c>
      <c r="F39" s="572">
        <f>F30+F33+F36</f>
        <v>1026.6803</v>
      </c>
      <c r="G39" s="572">
        <f>G33</f>
        <v>0</v>
      </c>
      <c r="H39" s="572">
        <f>H30+H33+H36</f>
        <v>3847.4423800229597</v>
      </c>
      <c r="I39" s="573">
        <f>I30+I33+I36</f>
        <v>839.4</v>
      </c>
      <c r="J39" s="572"/>
      <c r="K39" s="574">
        <f>K30+K33+K36</f>
        <v>3428.767063011067</v>
      </c>
      <c r="L39" s="571">
        <f>L30+L33+L36</f>
        <v>1035</v>
      </c>
      <c r="M39" s="572">
        <f>M36</f>
        <v>0</v>
      </c>
      <c r="N39" s="573">
        <f>N30+N33+N36</f>
        <v>4778.4439555776</v>
      </c>
    </row>
    <row r="40" spans="2:14" s="496" customFormat="1" ht="20.25" customHeight="1" hidden="1">
      <c r="B40" s="575" t="s">
        <v>55</v>
      </c>
      <c r="C40" s="576">
        <f>C31+C34+C37</f>
        <v>0</v>
      </c>
      <c r="D40" s="576">
        <f>D34</f>
        <v>0</v>
      </c>
      <c r="E40" s="576">
        <f>E31+E34+E37</f>
        <v>0</v>
      </c>
      <c r="F40" s="576"/>
      <c r="G40" s="576"/>
      <c r="H40" s="576"/>
      <c r="I40" s="577">
        <f>I31+I34+I37</f>
        <v>0</v>
      </c>
      <c r="J40" s="576">
        <f>J37</f>
        <v>0</v>
      </c>
      <c r="K40" s="578">
        <f>K31+K34+K37</f>
        <v>0</v>
      </c>
      <c r="L40" s="571"/>
      <c r="M40" s="572"/>
      <c r="N40" s="573"/>
    </row>
    <row r="41" spans="2:14" s="496" customFormat="1" ht="20.25" customHeight="1" hidden="1">
      <c r="B41" s="579" t="s">
        <v>56</v>
      </c>
      <c r="C41" s="576">
        <f>C32+C35+C38</f>
        <v>1031.2199999999998</v>
      </c>
      <c r="D41" s="576">
        <f>D35</f>
        <v>0</v>
      </c>
      <c r="E41" s="576">
        <f>E32+E35+E38</f>
        <v>4168.623728</v>
      </c>
      <c r="F41" s="576">
        <f>F32+F35+F38</f>
        <v>1026.6803</v>
      </c>
      <c r="G41" s="576">
        <f>G35</f>
        <v>0</v>
      </c>
      <c r="H41" s="576">
        <f>H32+H35+H38</f>
        <v>3847.4423800229597</v>
      </c>
      <c r="I41" s="577">
        <f>I32+I35+I38</f>
        <v>843.5</v>
      </c>
      <c r="J41" s="576">
        <f>J38</f>
        <v>4.0847832535276</v>
      </c>
      <c r="K41" s="578">
        <f>K32+K35+K38</f>
        <v>3445.51467435053</v>
      </c>
      <c r="L41" s="580">
        <f>L32+L35+L38</f>
        <v>1035</v>
      </c>
      <c r="M41" s="576">
        <f>M38</f>
        <v>4.61685406336</v>
      </c>
      <c r="N41" s="577">
        <f>N32+N35+N38</f>
        <v>4778.4439555776</v>
      </c>
    </row>
    <row r="42" ht="21.75" customHeight="1" hidden="1"/>
    <row r="43" spans="2:9" ht="21" customHeight="1" hidden="1">
      <c r="B43" s="1901"/>
      <c r="C43" s="1902"/>
      <c r="D43" s="1902"/>
      <c r="E43" s="1901"/>
      <c r="F43" s="1902"/>
      <c r="G43" s="1902"/>
      <c r="H43" s="1903"/>
      <c r="I43" s="1903"/>
    </row>
    <row r="44" spans="2:11" ht="20.25" customHeight="1" hidden="1">
      <c r="B44" s="1901" t="s">
        <v>47</v>
      </c>
      <c r="C44" s="1902"/>
      <c r="D44" s="1902"/>
      <c r="E44" s="1901"/>
      <c r="F44" s="1902"/>
      <c r="G44" s="1902"/>
      <c r="H44" s="1903" t="s">
        <v>1228</v>
      </c>
      <c r="I44" s="1903"/>
      <c r="J44" s="552"/>
      <c r="K44" s="552"/>
    </row>
    <row r="45" spans="2:11" ht="15.75" hidden="1">
      <c r="B45" s="553"/>
      <c r="C45" s="552"/>
      <c r="K45" s="483">
        <v>7560.129851598667</v>
      </c>
    </row>
    <row r="46" spans="3:9" ht="15.75" hidden="1">
      <c r="C46" s="483">
        <v>835817</v>
      </c>
      <c r="F46" s="483">
        <v>799179</v>
      </c>
      <c r="G46" s="581">
        <v>4.181491391431431</v>
      </c>
      <c r="H46" s="550">
        <v>7569.057070000001</v>
      </c>
      <c r="I46" s="483">
        <v>916.4427295822826</v>
      </c>
    </row>
    <row r="47" spans="3:9" ht="15.75" hidden="1">
      <c r="C47" s="483">
        <v>957018</v>
      </c>
      <c r="F47" s="483">
        <v>848570</v>
      </c>
      <c r="G47" s="499">
        <v>4.665140005457496</v>
      </c>
      <c r="H47" s="550">
        <v>52.74337</v>
      </c>
      <c r="I47" s="483">
        <v>553.1548159776462</v>
      </c>
    </row>
    <row r="48" spans="3:9" ht="15.75" hidden="1">
      <c r="C48" s="483">
        <v>1803285</v>
      </c>
      <c r="F48" s="483">
        <v>1659187</v>
      </c>
      <c r="H48" s="550">
        <f>H47+H46</f>
        <v>7621.800440000001</v>
      </c>
      <c r="I48" s="483">
        <v>124.58089077565117</v>
      </c>
    </row>
    <row r="49" ht="15.75" hidden="1">
      <c r="I49" s="483">
        <f>I48+I47</f>
        <v>677.7357067532973</v>
      </c>
    </row>
    <row r="50" ht="15.75" hidden="1"/>
    <row r="51" ht="15.75" hidden="1"/>
    <row r="52" ht="15.75" hidden="1"/>
    <row r="53" ht="15.75" hidden="1"/>
    <row r="54" ht="15.75">
      <c r="B54" s="167" t="s">
        <v>948</v>
      </c>
    </row>
    <row r="55" ht="15.75">
      <c r="B55" s="167"/>
    </row>
  </sheetData>
  <sheetProtection/>
  <mergeCells count="26">
    <mergeCell ref="L3:N3"/>
    <mergeCell ref="B4:N4"/>
    <mergeCell ref="B6:B7"/>
    <mergeCell ref="C6:E6"/>
    <mergeCell ref="F6:H6"/>
    <mergeCell ref="I6:K6"/>
    <mergeCell ref="L6:N6"/>
    <mergeCell ref="B14:N14"/>
    <mergeCell ref="Q14:T14"/>
    <mergeCell ref="B22:D22"/>
    <mergeCell ref="E22:G22"/>
    <mergeCell ref="H22:I22"/>
    <mergeCell ref="B23:N23"/>
    <mergeCell ref="L28:N28"/>
    <mergeCell ref="B43:D43"/>
    <mergeCell ref="E43:G43"/>
    <mergeCell ref="H43:I43"/>
    <mergeCell ref="L25:N25"/>
    <mergeCell ref="B26:N26"/>
    <mergeCell ref="B44:D44"/>
    <mergeCell ref="E44:G44"/>
    <mergeCell ref="H44:I44"/>
    <mergeCell ref="B28:B29"/>
    <mergeCell ref="C28:E28"/>
    <mergeCell ref="F28:H28"/>
    <mergeCell ref="I28:K28"/>
  </mergeCells>
  <printOptions horizontalCentered="1"/>
  <pageMargins left="0.17" right="0.17" top="0.984251968503937" bottom="0.984251968503937" header="0.5118110236220472" footer="0.5118110236220472"/>
  <pageSetup horizontalDpi="600" verticalDpi="600" orientation="landscape" paperSize="21" scale="70" r:id="rId1"/>
  <colBreaks count="1" manualBreakCount="1">
    <brk id="14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1" width="24.28125" style="0" customWidth="1"/>
    <col min="3" max="3" width="27.421875" style="0" customWidth="1"/>
  </cols>
  <sheetData>
    <row r="1" spans="1:2" ht="12.75">
      <c r="A1" t="s">
        <v>1317</v>
      </c>
      <c r="B1" t="s">
        <v>1318</v>
      </c>
    </row>
    <row r="2" spans="1:4" ht="12.75">
      <c r="A2" s="1405" t="s">
        <v>1225</v>
      </c>
      <c r="B2" s="1345">
        <v>604</v>
      </c>
      <c r="C2" t="s">
        <v>1319</v>
      </c>
      <c r="D2">
        <v>860.473</v>
      </c>
    </row>
    <row r="3" spans="2:4" ht="12.75">
      <c r="B3" s="1345" t="s">
        <v>1320</v>
      </c>
      <c r="C3" t="s">
        <v>1321</v>
      </c>
      <c r="D3">
        <v>13.633</v>
      </c>
    </row>
    <row r="4" spans="2:4" ht="12.75">
      <c r="B4" s="1345">
        <v>605</v>
      </c>
      <c r="C4" t="s">
        <v>1322</v>
      </c>
      <c r="D4">
        <v>5.504</v>
      </c>
    </row>
    <row r="5" spans="2:4" ht="12.75">
      <c r="B5" t="s">
        <v>1323</v>
      </c>
      <c r="C5" t="s">
        <v>1324</v>
      </c>
      <c r="D5">
        <v>8.129</v>
      </c>
    </row>
    <row r="6" spans="2:4" ht="12.75">
      <c r="B6" s="1345" t="s">
        <v>1325</v>
      </c>
      <c r="C6" t="s">
        <v>1326</v>
      </c>
      <c r="D6">
        <v>67.896</v>
      </c>
    </row>
    <row r="7" spans="2:4" ht="12.75">
      <c r="B7" s="1345" t="s">
        <v>1327</v>
      </c>
      <c r="C7" t="s">
        <v>1328</v>
      </c>
      <c r="D7">
        <v>45.983</v>
      </c>
    </row>
    <row r="8" ht="12.75">
      <c r="D8">
        <f>SUM(D2:D7)</f>
        <v>1001.6179999999999</v>
      </c>
    </row>
    <row r="10" ht="12.75">
      <c r="A10" s="1405" t="s">
        <v>1226</v>
      </c>
    </row>
    <row r="11" spans="2:4" ht="12.75">
      <c r="B11">
        <v>603</v>
      </c>
      <c r="C11" s="1405" t="s">
        <v>1335</v>
      </c>
      <c r="D11">
        <v>41.747</v>
      </c>
    </row>
    <row r="12" spans="2:4" ht="12.75">
      <c r="B12" s="1405" t="s">
        <v>1336</v>
      </c>
      <c r="C12" s="1405" t="s">
        <v>1337</v>
      </c>
      <c r="D12">
        <v>75.255</v>
      </c>
    </row>
    <row r="13" spans="2:4" ht="12.75">
      <c r="B13" s="1405" t="s">
        <v>1338</v>
      </c>
      <c r="C13" s="1405" t="s">
        <v>1339</v>
      </c>
      <c r="D13">
        <v>171.796</v>
      </c>
    </row>
    <row r="14" spans="2:4" ht="12.75">
      <c r="B14" s="1405" t="s">
        <v>1340</v>
      </c>
      <c r="C14" s="1405" t="s">
        <v>1341</v>
      </c>
      <c r="D14">
        <v>168.129</v>
      </c>
    </row>
    <row r="15" spans="2:4" ht="12.75">
      <c r="B15" s="1405" t="s">
        <v>1342</v>
      </c>
      <c r="C15" s="1405" t="s">
        <v>1343</v>
      </c>
      <c r="D15">
        <v>250.955</v>
      </c>
    </row>
    <row r="16" spans="2:4" ht="12.75">
      <c r="B16" s="1405" t="s">
        <v>1344</v>
      </c>
      <c r="C16" s="1405" t="s">
        <v>1337</v>
      </c>
      <c r="D16">
        <v>84.284</v>
      </c>
    </row>
    <row r="17" spans="2:4" ht="12.75">
      <c r="B17" s="1405" t="s">
        <v>1345</v>
      </c>
      <c r="C17" s="1405" t="s">
        <v>1326</v>
      </c>
      <c r="D17">
        <v>93.13</v>
      </c>
    </row>
    <row r="18" spans="2:4" ht="12.75">
      <c r="B18" s="1405" t="s">
        <v>1346</v>
      </c>
      <c r="C18" s="1405" t="s">
        <v>1347</v>
      </c>
      <c r="D18">
        <v>60.855</v>
      </c>
    </row>
    <row r="19" spans="2:4" ht="12.75">
      <c r="B19">
        <v>606</v>
      </c>
      <c r="C19" s="1405" t="s">
        <v>1348</v>
      </c>
      <c r="D19">
        <v>181.798</v>
      </c>
    </row>
    <row r="20" ht="12.75">
      <c r="D20">
        <f>SUM(D11:D19)</f>
        <v>1127.949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N43"/>
  <sheetViews>
    <sheetView zoomScalePageLayoutView="0" workbookViewId="0" topLeftCell="A10">
      <selection activeCell="A43" sqref="A43:L43"/>
    </sheetView>
  </sheetViews>
  <sheetFormatPr defaultColWidth="0.85546875" defaultRowHeight="15" customHeight="1"/>
  <cols>
    <col min="1" max="1" width="12.421875" style="428" customWidth="1"/>
    <col min="2" max="2" width="54.421875" style="428" customWidth="1"/>
    <col min="3" max="3" width="18.57421875" style="428" customWidth="1"/>
    <col min="4" max="4" width="14.8515625" style="428" customWidth="1"/>
    <col min="5" max="5" width="14.57421875" style="428" customWidth="1"/>
    <col min="6" max="6" width="13.421875" style="428" customWidth="1"/>
    <col min="7" max="7" width="14.140625" style="428" customWidth="1"/>
    <col min="8" max="8" width="13.7109375" style="428" customWidth="1"/>
    <col min="9" max="9" width="15.8515625" style="428" customWidth="1"/>
    <col min="10" max="10" width="17.421875" style="428" customWidth="1"/>
    <col min="11" max="13" width="18.421875" style="428" customWidth="1"/>
    <col min="14" max="14" width="23.00390625" style="428" customWidth="1"/>
    <col min="15" max="16384" width="0.85546875" style="428" customWidth="1"/>
  </cols>
  <sheetData>
    <row r="1" s="436" customFormat="1" ht="12.75" customHeight="1"/>
    <row r="2" ht="12.75" customHeight="1"/>
    <row r="3" spans="1:14" ht="13.5" customHeight="1">
      <c r="A3" s="1400" t="s">
        <v>1385</v>
      </c>
      <c r="B3" s="1400"/>
      <c r="C3" s="1400"/>
      <c r="D3" s="1400"/>
      <c r="E3" s="1400"/>
      <c r="F3" s="1400"/>
      <c r="G3" s="1400"/>
      <c r="H3" s="1400"/>
      <c r="I3" s="1400"/>
      <c r="J3" s="1400"/>
      <c r="K3" s="1400"/>
      <c r="L3" s="1400"/>
      <c r="M3" s="1400"/>
      <c r="N3" s="1400"/>
    </row>
    <row r="4" spans="1:14" ht="15" customHeight="1">
      <c r="A4" s="1400"/>
      <c r="B4" s="1400"/>
      <c r="C4" s="1400"/>
      <c r="D4" s="1400"/>
      <c r="E4" s="1400"/>
      <c r="F4" s="1400"/>
      <c r="G4" s="1400"/>
      <c r="H4" s="1400"/>
      <c r="I4" s="1400"/>
      <c r="J4" s="1400"/>
      <c r="K4" s="1400"/>
      <c r="L4" s="1400"/>
      <c r="M4" s="1400"/>
      <c r="N4" s="1400"/>
    </row>
    <row r="5" ht="15" customHeight="1" thickBot="1"/>
    <row r="6" spans="1:14" ht="34.5" customHeight="1">
      <c r="A6" s="811" t="s">
        <v>142</v>
      </c>
      <c r="B6" s="794" t="s">
        <v>1065</v>
      </c>
      <c r="C6" s="810" t="s">
        <v>685</v>
      </c>
      <c r="D6" s="1768" t="s">
        <v>1381</v>
      </c>
      <c r="E6" s="1768"/>
      <c r="F6" s="1768" t="s">
        <v>787</v>
      </c>
      <c r="G6" s="1768"/>
      <c r="H6" s="1768" t="s">
        <v>1382</v>
      </c>
      <c r="I6" s="1768"/>
      <c r="J6" s="1769" t="s">
        <v>788</v>
      </c>
      <c r="K6" s="1770"/>
      <c r="L6" s="812" t="s">
        <v>858</v>
      </c>
      <c r="M6" s="812" t="s">
        <v>859</v>
      </c>
      <c r="N6" s="812" t="s">
        <v>1383</v>
      </c>
    </row>
    <row r="7" spans="1:14" ht="39" customHeight="1">
      <c r="A7" s="797"/>
      <c r="B7" s="632"/>
      <c r="C7" s="632"/>
      <c r="D7" s="631" t="s">
        <v>942</v>
      </c>
      <c r="E7" s="632" t="s">
        <v>686</v>
      </c>
      <c r="F7" s="631" t="s">
        <v>942</v>
      </c>
      <c r="G7" s="632" t="s">
        <v>686</v>
      </c>
      <c r="H7" s="631" t="s">
        <v>942</v>
      </c>
      <c r="I7" s="632" t="s">
        <v>686</v>
      </c>
      <c r="J7" s="631" t="s">
        <v>942</v>
      </c>
      <c r="K7" s="631" t="s">
        <v>1386</v>
      </c>
      <c r="L7" s="632" t="s">
        <v>687</v>
      </c>
      <c r="M7" s="632" t="s">
        <v>687</v>
      </c>
      <c r="N7" s="813" t="s">
        <v>687</v>
      </c>
    </row>
    <row r="8" spans="1:14" ht="15" customHeight="1">
      <c r="A8" s="797">
        <v>1</v>
      </c>
      <c r="B8" s="632">
        <v>2</v>
      </c>
      <c r="C8" s="632">
        <v>3</v>
      </c>
      <c r="D8" s="632">
        <v>4</v>
      </c>
      <c r="E8" s="632">
        <v>5</v>
      </c>
      <c r="F8" s="632" t="s">
        <v>562</v>
      </c>
      <c r="G8" s="632" t="s">
        <v>563</v>
      </c>
      <c r="H8" s="632" t="s">
        <v>564</v>
      </c>
      <c r="I8" s="632" t="s">
        <v>565</v>
      </c>
      <c r="J8" s="632" t="s">
        <v>566</v>
      </c>
      <c r="K8" s="632" t="s">
        <v>567</v>
      </c>
      <c r="L8" s="813" t="s">
        <v>568</v>
      </c>
      <c r="M8" s="814"/>
      <c r="N8" s="814" t="s">
        <v>569</v>
      </c>
    </row>
    <row r="9" spans="1:14" ht="39" customHeight="1">
      <c r="A9" s="795">
        <v>1</v>
      </c>
      <c r="B9" s="989" t="s">
        <v>751</v>
      </c>
      <c r="C9" s="633"/>
      <c r="D9" s="633"/>
      <c r="E9" s="633"/>
      <c r="F9" s="633"/>
      <c r="G9" s="633"/>
      <c r="H9" s="633"/>
      <c r="I9" s="633"/>
      <c r="J9" s="633"/>
      <c r="K9" s="633"/>
      <c r="L9" s="796"/>
      <c r="M9" s="815"/>
      <c r="N9" s="815"/>
    </row>
    <row r="10" spans="1:14" ht="45" customHeight="1">
      <c r="A10" s="795" t="s">
        <v>358</v>
      </c>
      <c r="B10" s="990" t="s">
        <v>1291</v>
      </c>
      <c r="C10" s="632" t="s">
        <v>359</v>
      </c>
      <c r="D10" s="634"/>
      <c r="E10" s="634"/>
      <c r="F10" s="634"/>
      <c r="G10" s="634"/>
      <c r="H10" s="634"/>
      <c r="I10" s="634"/>
      <c r="J10" s="634"/>
      <c r="K10" s="634"/>
      <c r="L10" s="798"/>
      <c r="M10" s="816"/>
      <c r="N10" s="816"/>
    </row>
    <row r="11" spans="1:14" ht="15" customHeight="1" hidden="1">
      <c r="A11" s="797" t="s">
        <v>360</v>
      </c>
      <c r="B11" s="991" t="s">
        <v>752</v>
      </c>
      <c r="C11" s="632" t="s">
        <v>359</v>
      </c>
      <c r="D11" s="633"/>
      <c r="E11" s="633"/>
      <c r="F11" s="633"/>
      <c r="G11" s="633"/>
      <c r="H11" s="633"/>
      <c r="I11" s="633"/>
      <c r="J11" s="633"/>
      <c r="K11" s="633"/>
      <c r="L11" s="796"/>
      <c r="M11" s="815"/>
      <c r="N11" s="815"/>
    </row>
    <row r="12" spans="1:14" ht="15" customHeight="1" hidden="1">
      <c r="A12" s="797" t="s">
        <v>753</v>
      </c>
      <c r="B12" s="991" t="s">
        <v>754</v>
      </c>
      <c r="C12" s="632" t="s">
        <v>359</v>
      </c>
      <c r="D12" s="633"/>
      <c r="E12" s="633"/>
      <c r="F12" s="633"/>
      <c r="G12" s="633"/>
      <c r="H12" s="633"/>
      <c r="I12" s="633"/>
      <c r="J12" s="633"/>
      <c r="K12" s="633"/>
      <c r="L12" s="796"/>
      <c r="M12" s="815"/>
      <c r="N12" s="815"/>
    </row>
    <row r="13" spans="1:14" ht="15" customHeight="1" hidden="1">
      <c r="A13" s="797" t="s">
        <v>364</v>
      </c>
      <c r="B13" s="991" t="s">
        <v>755</v>
      </c>
      <c r="C13" s="633"/>
      <c r="D13" s="633"/>
      <c r="E13" s="633"/>
      <c r="F13" s="633"/>
      <c r="G13" s="633"/>
      <c r="H13" s="633"/>
      <c r="I13" s="633"/>
      <c r="J13" s="633"/>
      <c r="K13" s="633"/>
      <c r="L13" s="796"/>
      <c r="M13" s="815"/>
      <c r="N13" s="815"/>
    </row>
    <row r="14" spans="1:14" ht="15" customHeight="1" hidden="1">
      <c r="A14" s="797" t="s">
        <v>756</v>
      </c>
      <c r="B14" s="991" t="s">
        <v>757</v>
      </c>
      <c r="C14" s="632" t="s">
        <v>359</v>
      </c>
      <c r="D14" s="633"/>
      <c r="E14" s="633"/>
      <c r="F14" s="633"/>
      <c r="G14" s="633"/>
      <c r="H14" s="633"/>
      <c r="I14" s="633"/>
      <c r="J14" s="633"/>
      <c r="K14" s="633"/>
      <c r="L14" s="796"/>
      <c r="M14" s="815"/>
      <c r="N14" s="815"/>
    </row>
    <row r="15" spans="1:14" ht="15" customHeight="1" hidden="1">
      <c r="A15" s="797" t="s">
        <v>758</v>
      </c>
      <c r="B15" s="992" t="s">
        <v>759</v>
      </c>
      <c r="C15" s="632" t="s">
        <v>359</v>
      </c>
      <c r="D15" s="633"/>
      <c r="E15" s="633"/>
      <c r="F15" s="633"/>
      <c r="G15" s="633"/>
      <c r="H15" s="633"/>
      <c r="I15" s="633"/>
      <c r="J15" s="633"/>
      <c r="K15" s="633"/>
      <c r="L15" s="796"/>
      <c r="M15" s="815"/>
      <c r="N15" s="815"/>
    </row>
    <row r="16" spans="1:14" ht="15" customHeight="1" hidden="1">
      <c r="A16" s="797" t="s">
        <v>760</v>
      </c>
      <c r="B16" s="991" t="s">
        <v>761</v>
      </c>
      <c r="C16" s="632" t="s">
        <v>359</v>
      </c>
      <c r="D16" s="633"/>
      <c r="E16" s="633"/>
      <c r="F16" s="633"/>
      <c r="G16" s="633"/>
      <c r="H16" s="633"/>
      <c r="I16" s="633"/>
      <c r="J16" s="633"/>
      <c r="K16" s="633"/>
      <c r="L16" s="796"/>
      <c r="M16" s="815"/>
      <c r="N16" s="815"/>
    </row>
    <row r="17" spans="1:14" ht="15" customHeight="1" hidden="1">
      <c r="A17" s="797" t="s">
        <v>762</v>
      </c>
      <c r="B17" s="991" t="s">
        <v>763</v>
      </c>
      <c r="C17" s="632" t="s">
        <v>359</v>
      </c>
      <c r="D17" s="633"/>
      <c r="E17" s="633"/>
      <c r="F17" s="633"/>
      <c r="G17" s="633"/>
      <c r="H17" s="633"/>
      <c r="I17" s="633"/>
      <c r="J17" s="633"/>
      <c r="K17" s="633"/>
      <c r="L17" s="796"/>
      <c r="M17" s="815"/>
      <c r="N17" s="815"/>
    </row>
    <row r="18" spans="1:14" ht="22.5" customHeight="1" hidden="1">
      <c r="A18" s="797" t="s">
        <v>764</v>
      </c>
      <c r="B18" s="991" t="s">
        <v>765</v>
      </c>
      <c r="C18" s="632" t="s">
        <v>359</v>
      </c>
      <c r="D18" s="633"/>
      <c r="E18" s="633"/>
      <c r="F18" s="633"/>
      <c r="G18" s="633"/>
      <c r="H18" s="633"/>
      <c r="I18" s="633"/>
      <c r="J18" s="633"/>
      <c r="K18" s="633"/>
      <c r="L18" s="796"/>
      <c r="M18" s="815"/>
      <c r="N18" s="815"/>
    </row>
    <row r="19" spans="1:14" ht="30" customHeight="1" hidden="1">
      <c r="A19" s="797" t="s">
        <v>766</v>
      </c>
      <c r="B19" s="993" t="s">
        <v>767</v>
      </c>
      <c r="C19" s="632" t="s">
        <v>359</v>
      </c>
      <c r="D19" s="633"/>
      <c r="E19" s="633"/>
      <c r="F19" s="633"/>
      <c r="G19" s="633"/>
      <c r="H19" s="633"/>
      <c r="I19" s="633"/>
      <c r="J19" s="633"/>
      <c r="K19" s="633"/>
      <c r="L19" s="796"/>
      <c r="M19" s="815"/>
      <c r="N19" s="815"/>
    </row>
    <row r="20" spans="1:14" ht="39" customHeight="1" hidden="1">
      <c r="A20" s="795" t="s">
        <v>768</v>
      </c>
      <c r="B20" s="990" t="s">
        <v>1211</v>
      </c>
      <c r="C20" s="632" t="s">
        <v>359</v>
      </c>
      <c r="D20" s="634"/>
      <c r="E20" s="634"/>
      <c r="F20" s="634"/>
      <c r="G20" s="634"/>
      <c r="H20" s="636"/>
      <c r="I20" s="636"/>
      <c r="J20" s="634"/>
      <c r="K20" s="634"/>
      <c r="L20" s="798"/>
      <c r="M20" s="816"/>
      <c r="N20" s="816"/>
    </row>
    <row r="21" spans="1:14" ht="32.25" customHeight="1">
      <c r="A21" s="830"/>
      <c r="B21" s="994" t="s">
        <v>1213</v>
      </c>
      <c r="C21" s="632" t="s">
        <v>359</v>
      </c>
      <c r="D21" s="635"/>
      <c r="E21" s="633"/>
      <c r="F21" s="635"/>
      <c r="G21" s="635"/>
      <c r="H21" s="633"/>
      <c r="I21" s="635"/>
      <c r="J21" s="635"/>
      <c r="K21" s="635"/>
      <c r="L21" s="800"/>
      <c r="M21" s="817"/>
      <c r="N21" s="817"/>
    </row>
    <row r="22" spans="1:14" ht="20.25" customHeight="1" hidden="1">
      <c r="A22" s="797"/>
      <c r="B22" s="994" t="s">
        <v>1212</v>
      </c>
      <c r="C22" s="632" t="s">
        <v>359</v>
      </c>
      <c r="D22" s="635"/>
      <c r="E22" s="633"/>
      <c r="F22" s="635"/>
      <c r="G22" s="635"/>
      <c r="H22" s="633"/>
      <c r="I22" s="635"/>
      <c r="J22" s="635"/>
      <c r="K22" s="635"/>
      <c r="L22" s="800"/>
      <c r="M22" s="817"/>
      <c r="N22" s="817"/>
    </row>
    <row r="23" spans="1:14" ht="33" customHeight="1">
      <c r="A23" s="797"/>
      <c r="B23" s="994" t="s">
        <v>1179</v>
      </c>
      <c r="C23" s="632" t="s">
        <v>359</v>
      </c>
      <c r="D23" s="788"/>
      <c r="E23" s="635"/>
      <c r="F23" s="635"/>
      <c r="G23" s="635"/>
      <c r="H23" s="635"/>
      <c r="I23" s="635"/>
      <c r="J23" s="635"/>
      <c r="K23" s="635"/>
      <c r="L23" s="800"/>
      <c r="M23" s="817"/>
      <c r="N23" s="817"/>
    </row>
    <row r="24" spans="1:14" ht="30" customHeight="1" hidden="1">
      <c r="A24" s="797" t="s">
        <v>769</v>
      </c>
      <c r="B24" s="993" t="s">
        <v>770</v>
      </c>
      <c r="C24" s="632" t="s">
        <v>359</v>
      </c>
      <c r="D24" s="633"/>
      <c r="E24" s="633"/>
      <c r="F24" s="633"/>
      <c r="G24" s="633"/>
      <c r="H24" s="633"/>
      <c r="I24" s="633"/>
      <c r="J24" s="633"/>
      <c r="K24" s="633"/>
      <c r="L24" s="796"/>
      <c r="M24" s="815"/>
      <c r="N24" s="815"/>
    </row>
    <row r="25" spans="1:14" ht="15" customHeight="1" hidden="1">
      <c r="A25" s="797" t="s">
        <v>771</v>
      </c>
      <c r="B25" s="991" t="s">
        <v>717</v>
      </c>
      <c r="C25" s="632" t="s">
        <v>359</v>
      </c>
      <c r="D25" s="633"/>
      <c r="E25" s="633"/>
      <c r="F25" s="633"/>
      <c r="G25" s="633"/>
      <c r="H25" s="633"/>
      <c r="I25" s="633"/>
      <c r="J25" s="633"/>
      <c r="K25" s="633"/>
      <c r="L25" s="796"/>
      <c r="M25" s="815"/>
      <c r="N25" s="815"/>
    </row>
    <row r="26" spans="1:14" ht="15" customHeight="1" hidden="1">
      <c r="A26" s="797" t="s">
        <v>772</v>
      </c>
      <c r="B26" s="991" t="s">
        <v>719</v>
      </c>
      <c r="C26" s="632" t="s">
        <v>359</v>
      </c>
      <c r="D26" s="633"/>
      <c r="E26" s="633"/>
      <c r="F26" s="633"/>
      <c r="G26" s="633"/>
      <c r="H26" s="633"/>
      <c r="I26" s="633"/>
      <c r="J26" s="633"/>
      <c r="K26" s="633"/>
      <c r="L26" s="796"/>
      <c r="M26" s="815"/>
      <c r="N26" s="815"/>
    </row>
    <row r="27" spans="1:14" ht="15" customHeight="1" hidden="1">
      <c r="A27" s="797" t="s">
        <v>773</v>
      </c>
      <c r="B27" s="991" t="s">
        <v>721</v>
      </c>
      <c r="C27" s="632" t="s">
        <v>359</v>
      </c>
      <c r="D27" s="633"/>
      <c r="E27" s="633"/>
      <c r="F27" s="633"/>
      <c r="G27" s="633"/>
      <c r="H27" s="633"/>
      <c r="I27" s="633"/>
      <c r="J27" s="633"/>
      <c r="K27" s="633"/>
      <c r="L27" s="796"/>
      <c r="M27" s="815"/>
      <c r="N27" s="815"/>
    </row>
    <row r="28" spans="1:14" ht="15" customHeight="1" hidden="1">
      <c r="A28" s="797" t="s">
        <v>774</v>
      </c>
      <c r="B28" s="991" t="s">
        <v>775</v>
      </c>
      <c r="C28" s="632" t="s">
        <v>359</v>
      </c>
      <c r="D28" s="633"/>
      <c r="E28" s="633"/>
      <c r="F28" s="633"/>
      <c r="G28" s="633"/>
      <c r="H28" s="633"/>
      <c r="I28" s="633"/>
      <c r="J28" s="633"/>
      <c r="K28" s="633"/>
      <c r="L28" s="796"/>
      <c r="M28" s="815"/>
      <c r="N28" s="815"/>
    </row>
    <row r="29" spans="1:14" ht="15" customHeight="1" hidden="1">
      <c r="A29" s="797" t="s">
        <v>368</v>
      </c>
      <c r="B29" s="991" t="s">
        <v>776</v>
      </c>
      <c r="C29" s="632" t="s">
        <v>359</v>
      </c>
      <c r="D29" s="633"/>
      <c r="E29" s="633"/>
      <c r="F29" s="633"/>
      <c r="G29" s="633"/>
      <c r="H29" s="633"/>
      <c r="I29" s="633"/>
      <c r="J29" s="633"/>
      <c r="K29" s="633"/>
      <c r="L29" s="796"/>
      <c r="M29" s="815"/>
      <c r="N29" s="815"/>
    </row>
    <row r="30" spans="1:14" ht="15" customHeight="1" hidden="1">
      <c r="A30" s="797" t="s">
        <v>777</v>
      </c>
      <c r="B30" s="991" t="s">
        <v>778</v>
      </c>
      <c r="C30" s="632" t="s">
        <v>359</v>
      </c>
      <c r="D30" s="633"/>
      <c r="E30" s="633"/>
      <c r="F30" s="633"/>
      <c r="G30" s="633"/>
      <c r="H30" s="633"/>
      <c r="I30" s="633"/>
      <c r="J30" s="633"/>
      <c r="K30" s="633"/>
      <c r="L30" s="796"/>
      <c r="M30" s="815"/>
      <c r="N30" s="815"/>
    </row>
    <row r="31" spans="1:14" ht="15" customHeight="1" hidden="1">
      <c r="A31" s="797" t="s">
        <v>779</v>
      </c>
      <c r="B31" s="991" t="s">
        <v>780</v>
      </c>
      <c r="C31" s="632" t="s">
        <v>359</v>
      </c>
      <c r="D31" s="633"/>
      <c r="E31" s="633"/>
      <c r="F31" s="633"/>
      <c r="G31" s="633"/>
      <c r="H31" s="633"/>
      <c r="I31" s="633"/>
      <c r="J31" s="633"/>
      <c r="K31" s="633"/>
      <c r="L31" s="796"/>
      <c r="M31" s="815"/>
      <c r="N31" s="815"/>
    </row>
    <row r="32" spans="1:14" ht="30" customHeight="1" hidden="1">
      <c r="A32" s="797" t="s">
        <v>781</v>
      </c>
      <c r="B32" s="993" t="s">
        <v>782</v>
      </c>
      <c r="C32" s="632" t="s">
        <v>359</v>
      </c>
      <c r="D32" s="633"/>
      <c r="E32" s="633"/>
      <c r="F32" s="633"/>
      <c r="G32" s="633"/>
      <c r="H32" s="633"/>
      <c r="I32" s="633"/>
      <c r="J32" s="633"/>
      <c r="K32" s="633"/>
      <c r="L32" s="796"/>
      <c r="M32" s="815"/>
      <c r="N32" s="815"/>
    </row>
    <row r="33" spans="1:14" ht="30.75" customHeight="1">
      <c r="A33" s="795">
        <v>2</v>
      </c>
      <c r="B33" s="989" t="s">
        <v>1289</v>
      </c>
      <c r="C33" s="632" t="s">
        <v>359</v>
      </c>
      <c r="D33" s="634"/>
      <c r="E33" s="634"/>
      <c r="F33" s="634"/>
      <c r="G33" s="634"/>
      <c r="H33" s="636"/>
      <c r="I33" s="636"/>
      <c r="J33" s="634"/>
      <c r="K33" s="634"/>
      <c r="L33" s="798"/>
      <c r="M33" s="816"/>
      <c r="N33" s="816"/>
    </row>
    <row r="34" spans="1:14" ht="33" customHeight="1">
      <c r="A34" s="797" t="s">
        <v>371</v>
      </c>
      <c r="B34" s="991" t="s">
        <v>1290</v>
      </c>
      <c r="C34" s="632" t="s">
        <v>359</v>
      </c>
      <c r="D34" s="636"/>
      <c r="E34" s="636"/>
      <c r="F34" s="636"/>
      <c r="G34" s="636"/>
      <c r="H34" s="636"/>
      <c r="I34" s="636"/>
      <c r="J34" s="636"/>
      <c r="K34" s="636"/>
      <c r="L34" s="799"/>
      <c r="M34" s="818"/>
      <c r="N34" s="818"/>
    </row>
    <row r="35" spans="1:14" ht="8.25" customHeight="1" hidden="1">
      <c r="A35" s="797" t="s">
        <v>373</v>
      </c>
      <c r="B35" s="991" t="s">
        <v>783</v>
      </c>
      <c r="C35" s="632" t="s">
        <v>359</v>
      </c>
      <c r="D35" s="633"/>
      <c r="E35" s="633"/>
      <c r="F35" s="633"/>
      <c r="G35" s="633"/>
      <c r="H35" s="636"/>
      <c r="I35" s="636"/>
      <c r="J35" s="633"/>
      <c r="K35" s="633"/>
      <c r="L35" s="796"/>
      <c r="M35" s="815"/>
      <c r="N35" s="815"/>
    </row>
    <row r="36" spans="1:14" ht="33" customHeight="1" hidden="1">
      <c r="A36" s="795">
        <v>3</v>
      </c>
      <c r="B36" s="990" t="s">
        <v>784</v>
      </c>
      <c r="C36" s="632" t="s">
        <v>359</v>
      </c>
      <c r="D36" s="634"/>
      <c r="E36" s="634"/>
      <c r="F36" s="634"/>
      <c r="G36" s="634"/>
      <c r="H36" s="636"/>
      <c r="I36" s="634"/>
      <c r="J36" s="634"/>
      <c r="K36" s="634"/>
      <c r="L36" s="798"/>
      <c r="M36" s="816"/>
      <c r="N36" s="816"/>
    </row>
    <row r="37" spans="1:14" ht="25.5" customHeight="1" hidden="1">
      <c r="A37" s="797" t="s">
        <v>1191</v>
      </c>
      <c r="B37" s="991" t="s">
        <v>1208</v>
      </c>
      <c r="C37" s="632" t="s">
        <v>359</v>
      </c>
      <c r="D37" s="635"/>
      <c r="E37" s="635"/>
      <c r="F37" s="635"/>
      <c r="G37" s="635"/>
      <c r="H37" s="636"/>
      <c r="I37" s="635"/>
      <c r="J37" s="635"/>
      <c r="K37" s="635"/>
      <c r="L37" s="800"/>
      <c r="M37" s="817"/>
      <c r="N37" s="817"/>
    </row>
    <row r="38" spans="1:14" ht="30" customHeight="1" hidden="1">
      <c r="A38" s="797" t="s">
        <v>1192</v>
      </c>
      <c r="B38" s="991" t="s">
        <v>1179</v>
      </c>
      <c r="C38" s="632" t="s">
        <v>359</v>
      </c>
      <c r="D38" s="633"/>
      <c r="E38" s="633"/>
      <c r="F38" s="633"/>
      <c r="G38" s="633"/>
      <c r="H38" s="633"/>
      <c r="I38" s="635"/>
      <c r="J38" s="635"/>
      <c r="K38" s="635"/>
      <c r="L38" s="800"/>
      <c r="M38" s="817"/>
      <c r="N38" s="815"/>
    </row>
    <row r="39" spans="1:14" ht="15" customHeight="1" hidden="1">
      <c r="A39" s="795"/>
      <c r="B39" s="989" t="s">
        <v>785</v>
      </c>
      <c r="C39" s="632" t="s">
        <v>359</v>
      </c>
      <c r="D39" s="633"/>
      <c r="E39" s="633"/>
      <c r="F39" s="633"/>
      <c r="G39" s="633"/>
      <c r="H39" s="633"/>
      <c r="I39" s="633"/>
      <c r="J39" s="633"/>
      <c r="K39" s="633"/>
      <c r="L39" s="796"/>
      <c r="M39" s="815"/>
      <c r="N39" s="815"/>
    </row>
    <row r="40" spans="1:14" ht="36" customHeight="1">
      <c r="A40" s="795" t="s">
        <v>570</v>
      </c>
      <c r="B40" s="990" t="s">
        <v>786</v>
      </c>
      <c r="C40" s="632" t="s">
        <v>289</v>
      </c>
      <c r="D40" s="633"/>
      <c r="E40" s="821"/>
      <c r="F40" s="633"/>
      <c r="G40" s="821"/>
      <c r="H40" s="633"/>
      <c r="I40" s="821"/>
      <c r="J40" s="793"/>
      <c r="K40" s="821"/>
      <c r="L40" s="831"/>
      <c r="M40" s="829"/>
      <c r="N40" s="819"/>
    </row>
    <row r="41" spans="1:14" ht="32.25" customHeight="1" thickBot="1">
      <c r="A41" s="832"/>
      <c r="B41" s="995" t="s">
        <v>571</v>
      </c>
      <c r="C41" s="805" t="s">
        <v>289</v>
      </c>
      <c r="D41" s="833"/>
      <c r="E41" s="833"/>
      <c r="F41" s="833"/>
      <c r="G41" s="834"/>
      <c r="H41" s="833"/>
      <c r="I41" s="833"/>
      <c r="J41" s="835"/>
      <c r="K41" s="836"/>
      <c r="L41" s="837"/>
      <c r="M41" s="820"/>
      <c r="N41" s="820"/>
    </row>
    <row r="42" ht="36" customHeight="1">
      <c r="A42" s="838"/>
    </row>
    <row r="43" spans="1:13" ht="48.75" customHeight="1">
      <c r="A43" s="1771"/>
      <c r="B43" s="1771"/>
      <c r="C43" s="1771"/>
      <c r="D43" s="1771"/>
      <c r="E43" s="1771"/>
      <c r="F43" s="1771"/>
      <c r="G43" s="1771"/>
      <c r="H43" s="1771"/>
      <c r="I43" s="1771"/>
      <c r="J43" s="1771"/>
      <c r="K43" s="1771"/>
      <c r="L43" s="1771"/>
      <c r="M43" s="839"/>
    </row>
    <row r="65523" ht="12.75" customHeight="1"/>
    <row r="65524" ht="12.75" customHeight="1"/>
    <row r="65525" ht="12.75" customHeight="1"/>
  </sheetData>
  <sheetProtection selectLockedCells="1" selectUnlockedCells="1"/>
  <mergeCells count="5">
    <mergeCell ref="A43:L43"/>
    <mergeCell ref="D6:E6"/>
    <mergeCell ref="F6:G6"/>
    <mergeCell ref="H6:I6"/>
    <mergeCell ref="J6:K6"/>
  </mergeCells>
  <printOptions/>
  <pageMargins left="0.44" right="0.5118055555555555" top="0.68" bottom="0.39375" header="0.19652777777777777" footer="0.5118055555555555"/>
  <pageSetup horizontalDpi="300" verticalDpi="300" orientation="landscape" paperSize="9" scale="5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9"/>
  <sheetViews>
    <sheetView zoomScale="70" zoomScaleNormal="70" zoomScalePageLayoutView="0" workbookViewId="0" topLeftCell="A1">
      <pane xSplit="9" ySplit="1" topLeftCell="R33" activePane="bottomRight" state="frozen"/>
      <selection pane="topLeft" activeCell="A1" sqref="A1"/>
      <selection pane="topRight" activeCell="J1" sqref="J1"/>
      <selection pane="bottomLeft" activeCell="A3" sqref="A3"/>
      <selection pane="bottomRight" activeCell="A80" sqref="A80"/>
    </sheetView>
  </sheetViews>
  <sheetFormatPr defaultColWidth="8.8515625" defaultRowHeight="12.75"/>
  <cols>
    <col min="1" max="1" width="45.8515625" style="122" customWidth="1"/>
    <col min="2" max="2" width="11.57421875" style="1368" customWidth="1"/>
    <col min="3" max="3" width="10.140625" style="122" hidden="1" customWidth="1"/>
    <col min="4" max="4" width="16.7109375" style="122" hidden="1" customWidth="1"/>
    <col min="5" max="5" width="9.8515625" style="122" hidden="1" customWidth="1"/>
    <col min="6" max="6" width="10.00390625" style="122" hidden="1" customWidth="1"/>
    <col min="7" max="7" width="9.57421875" style="122" hidden="1" customWidth="1"/>
    <col min="8" max="8" width="11.7109375" style="122" hidden="1" customWidth="1"/>
    <col min="9" max="9" width="14.421875" style="122" hidden="1" customWidth="1"/>
    <col min="10" max="10" width="13.00390625" style="122" hidden="1" customWidth="1"/>
    <col min="11" max="11" width="15.421875" style="122" customWidth="1"/>
    <col min="12" max="12" width="15.140625" style="122" customWidth="1"/>
    <col min="13" max="13" width="16.28125" style="122" customWidth="1"/>
    <col min="14" max="14" width="11.140625" style="45" customWidth="1"/>
    <col min="15" max="15" width="17.28125" style="122" customWidth="1"/>
    <col min="16" max="16" width="16.57421875" style="122" customWidth="1"/>
    <col min="17" max="17" width="12.421875" style="122" customWidth="1"/>
    <col min="18" max="19" width="13.00390625" style="122" customWidth="1"/>
    <col min="20" max="20" width="23.7109375" style="122" customWidth="1"/>
    <col min="21" max="21" width="12.00390625" style="122" customWidth="1"/>
    <col min="22" max="22" width="9.57421875" style="122" customWidth="1"/>
    <col min="23" max="23" width="12.57421875" style="122" customWidth="1"/>
    <col min="24" max="24" width="21.28125" style="122" customWidth="1"/>
    <col min="25" max="25" width="11.7109375" style="45" customWidth="1"/>
    <col min="26" max="26" width="9.421875" style="45" customWidth="1"/>
    <col min="27" max="27" width="12.7109375" style="45" customWidth="1"/>
    <col min="28" max="28" width="17.8515625" style="45" customWidth="1"/>
    <col min="29" max="16384" width="8.8515625" style="45" customWidth="1"/>
  </cols>
  <sheetData>
    <row r="1" spans="1:31" ht="54.75" customHeight="1">
      <c r="A1" s="1317" t="s">
        <v>1387</v>
      </c>
      <c r="B1" s="1350" t="s">
        <v>171</v>
      </c>
      <c r="C1" s="1181" t="s">
        <v>161</v>
      </c>
      <c r="D1" s="1181" t="s">
        <v>1298</v>
      </c>
      <c r="E1" s="1181" t="s">
        <v>168</v>
      </c>
      <c r="F1" s="1181" t="s">
        <v>1072</v>
      </c>
      <c r="G1" s="1182" t="s">
        <v>1074</v>
      </c>
      <c r="H1" s="1182" t="s">
        <v>1296</v>
      </c>
      <c r="I1" s="1182" t="s">
        <v>1297</v>
      </c>
      <c r="J1" s="1183" t="s">
        <v>277</v>
      </c>
      <c r="K1" s="1182" t="s">
        <v>1334</v>
      </c>
      <c r="L1" s="1182" t="s">
        <v>1296</v>
      </c>
      <c r="M1" s="1182" t="s">
        <v>1297</v>
      </c>
      <c r="N1" s="1363" t="s">
        <v>1409</v>
      </c>
      <c r="O1" s="1183" t="s">
        <v>150</v>
      </c>
      <c r="P1" s="1183" t="s">
        <v>1354</v>
      </c>
      <c r="Q1" s="1183" t="s">
        <v>1296</v>
      </c>
      <c r="R1" s="1183" t="s">
        <v>1297</v>
      </c>
      <c r="S1" s="1183" t="s">
        <v>1410</v>
      </c>
      <c r="T1" s="1183" t="s">
        <v>1414</v>
      </c>
      <c r="U1" s="1183" t="s">
        <v>1296</v>
      </c>
      <c r="V1" s="1183" t="s">
        <v>1360</v>
      </c>
      <c r="W1" s="1183" t="s">
        <v>1297</v>
      </c>
      <c r="X1" s="1183" t="s">
        <v>1415</v>
      </c>
      <c r="Y1" s="1183" t="s">
        <v>1296</v>
      </c>
      <c r="Z1" s="1183" t="s">
        <v>1360</v>
      </c>
      <c r="AA1" s="1730" t="s">
        <v>1297</v>
      </c>
      <c r="AB1" s="1183" t="s">
        <v>1416</v>
      </c>
      <c r="AC1" s="1183" t="s">
        <v>1296</v>
      </c>
      <c r="AD1" s="1183" t="s">
        <v>1360</v>
      </c>
      <c r="AE1" s="1183" t="s">
        <v>1297</v>
      </c>
    </row>
    <row r="2" spans="1:31" ht="24.75" customHeight="1">
      <c r="A2" s="1184" t="s">
        <v>1205</v>
      </c>
      <c r="B2" s="1351" t="s">
        <v>1176</v>
      </c>
      <c r="C2" s="1185">
        <v>1774.7</v>
      </c>
      <c r="D2" s="1185">
        <v>2108.57</v>
      </c>
      <c r="E2" s="1185">
        <v>1741.1</v>
      </c>
      <c r="F2" s="1186">
        <v>1667.51</v>
      </c>
      <c r="G2" s="1187">
        <v>1777.14659</v>
      </c>
      <c r="H2" s="1187">
        <v>888.5732949999999</v>
      </c>
      <c r="I2" s="1187">
        <v>888.5732949999999</v>
      </c>
      <c r="J2" s="1187">
        <f>1815540/1000</f>
        <v>1815.54</v>
      </c>
      <c r="K2" s="1187">
        <v>1718.42351163178</v>
      </c>
      <c r="L2" s="1219">
        <v>859.21175581589</v>
      </c>
      <c r="M2" s="1219">
        <v>859.21175581589</v>
      </c>
      <c r="N2" s="1335">
        <f>1322020/1000</f>
        <v>1322.02</v>
      </c>
      <c r="O2" s="1187">
        <v>1718.42351163178</v>
      </c>
      <c r="P2" s="1187">
        <v>1718.42351163178</v>
      </c>
      <c r="Q2" s="1185">
        <f>P2/2</f>
        <v>859.21175581589</v>
      </c>
      <c r="R2" s="1185">
        <f>P2-Q2</f>
        <v>859.21175581589</v>
      </c>
      <c r="S2" s="1185"/>
      <c r="T2" s="1187">
        <v>1564.849366394379</v>
      </c>
      <c r="U2" s="1185">
        <f>T2/2</f>
        <v>782.4246831971896</v>
      </c>
      <c r="V2" s="1185"/>
      <c r="W2" s="1185">
        <f>T2-U2</f>
        <v>782.4246831971896</v>
      </c>
      <c r="X2" s="1511">
        <v>1564.849366394379</v>
      </c>
      <c r="Y2" s="1542">
        <f>X2/2</f>
        <v>782.4246831971896</v>
      </c>
      <c r="Z2" s="1455"/>
      <c r="AA2" s="1754">
        <f>X2-Y2</f>
        <v>782.4246831971896</v>
      </c>
      <c r="AB2" s="1455"/>
      <c r="AC2" s="1455"/>
      <c r="AD2" s="1455"/>
      <c r="AE2" s="1455"/>
    </row>
    <row r="3" spans="1:31" ht="20.25" customHeight="1">
      <c r="A3" s="1184"/>
      <c r="B3" s="1351"/>
      <c r="C3" s="1185"/>
      <c r="D3" s="1185"/>
      <c r="E3" s="1185"/>
      <c r="F3" s="1186"/>
      <c r="G3" s="1187"/>
      <c r="H3" s="1187"/>
      <c r="I3" s="1187"/>
      <c r="J3" s="1187"/>
      <c r="K3" s="1187"/>
      <c r="L3" s="1219"/>
      <c r="M3" s="1219"/>
      <c r="N3" s="1335"/>
      <c r="O3" s="1187"/>
      <c r="P3" s="1187"/>
      <c r="Q3" s="1185"/>
      <c r="R3" s="1185"/>
      <c r="S3" s="1185"/>
      <c r="T3" s="1185"/>
      <c r="U3" s="1185"/>
      <c r="V3" s="1185"/>
      <c r="W3" s="1185"/>
      <c r="X3" s="1511"/>
      <c r="Y3" s="1542"/>
      <c r="Z3" s="1455"/>
      <c r="AA3" s="1754"/>
      <c r="AB3" s="1455"/>
      <c r="AC3" s="1455"/>
      <c r="AD3" s="1455"/>
      <c r="AE3" s="1455"/>
    </row>
    <row r="4" spans="1:31" ht="20.25" customHeight="1">
      <c r="A4" s="867" t="s">
        <v>1206</v>
      </c>
      <c r="B4" s="1351" t="s">
        <v>1176</v>
      </c>
      <c r="C4" s="1185">
        <v>345</v>
      </c>
      <c r="D4" s="1185">
        <v>345.12537</v>
      </c>
      <c r="E4" s="1185">
        <v>386.4</v>
      </c>
      <c r="F4" s="1186">
        <v>304.05</v>
      </c>
      <c r="G4" s="1187">
        <v>404.64658999999995</v>
      </c>
      <c r="H4" s="1187">
        <v>202.32329499999997</v>
      </c>
      <c r="I4" s="1187">
        <v>202.32329499999997</v>
      </c>
      <c r="J4" s="1187">
        <f>'баланс вс'!I26</f>
        <v>0</v>
      </c>
      <c r="K4" s="1219">
        <v>404.64659</v>
      </c>
      <c r="L4" s="1219">
        <v>202.323295</v>
      </c>
      <c r="M4" s="1219">
        <v>202.323295</v>
      </c>
      <c r="N4" s="1334">
        <f>224051.7758/1000</f>
        <v>224.0517758</v>
      </c>
      <c r="O4" s="1187">
        <v>404.64659</v>
      </c>
      <c r="P4" s="1219">
        <v>404.64659</v>
      </c>
      <c r="Q4" s="1185">
        <f>P4/2</f>
        <v>202.323295</v>
      </c>
      <c r="R4" s="1185">
        <f>P4-Q4</f>
        <v>202.323295</v>
      </c>
      <c r="S4" s="1185"/>
      <c r="T4" s="1185">
        <v>298.73570106666665</v>
      </c>
      <c r="U4" s="1185">
        <f>T4/2</f>
        <v>149.36785053333332</v>
      </c>
      <c r="V4" s="1185"/>
      <c r="W4" s="1185">
        <f>T4-U4</f>
        <v>149.36785053333332</v>
      </c>
      <c r="X4" s="1511">
        <v>298.73570106666665</v>
      </c>
      <c r="Y4" s="1542">
        <f>X4/2</f>
        <v>149.36785053333332</v>
      </c>
      <c r="Z4" s="1455"/>
      <c r="AA4" s="1754">
        <f>X4-Y4</f>
        <v>149.36785053333332</v>
      </c>
      <c r="AB4" s="1455"/>
      <c r="AC4" s="1455"/>
      <c r="AD4" s="1455"/>
      <c r="AE4" s="1455"/>
    </row>
    <row r="5" spans="1:31" ht="26.25" customHeight="1">
      <c r="A5" s="1184" t="s">
        <v>1207</v>
      </c>
      <c r="B5" s="1351" t="s">
        <v>1176</v>
      </c>
      <c r="C5" s="1185">
        <v>1774.7</v>
      </c>
      <c r="D5" s="1185">
        <v>2108.57</v>
      </c>
      <c r="E5" s="1185">
        <v>1741.1</v>
      </c>
      <c r="F5" s="1186">
        <v>1363.46</v>
      </c>
      <c r="G5" s="1187">
        <v>1777.1465899999998</v>
      </c>
      <c r="H5" s="1187">
        <v>888.5732949999999</v>
      </c>
      <c r="I5" s="1187">
        <v>888.5732949999999</v>
      </c>
      <c r="J5" s="1187">
        <f>J2</f>
        <v>1815.54</v>
      </c>
      <c r="K5" s="1219">
        <v>1718.42351163178</v>
      </c>
      <c r="L5" s="1219">
        <v>859.21175581589</v>
      </c>
      <c r="M5" s="1219">
        <v>859.21175581589</v>
      </c>
      <c r="N5" s="1334">
        <v>1322.02</v>
      </c>
      <c r="O5" s="1185">
        <v>1718.42351163178</v>
      </c>
      <c r="P5" s="1219">
        <v>1718.42351163178</v>
      </c>
      <c r="Q5" s="1185">
        <f>P5/2</f>
        <v>859.21175581589</v>
      </c>
      <c r="R5" s="1185">
        <f>P5-Q5</f>
        <v>859.21175581589</v>
      </c>
      <c r="S5" s="1185"/>
      <c r="T5" s="1185">
        <v>1564.849366394379</v>
      </c>
      <c r="U5" s="1185">
        <f>T5/2</f>
        <v>782.4246831971896</v>
      </c>
      <c r="V5" s="1185"/>
      <c r="W5" s="1185">
        <f>T5-U5</f>
        <v>782.4246831971896</v>
      </c>
      <c r="X5" s="1511">
        <v>1564.849366394379</v>
      </c>
      <c r="Y5" s="1542">
        <f>X5/2</f>
        <v>782.4246831971896</v>
      </c>
      <c r="Z5" s="1455"/>
      <c r="AA5" s="1754">
        <f>X5-Y5</f>
        <v>782.4246831971896</v>
      </c>
      <c r="AB5" s="1455"/>
      <c r="AC5" s="1455"/>
      <c r="AD5" s="1455"/>
      <c r="AE5" s="1455"/>
    </row>
    <row r="6" spans="1:31" ht="21" customHeight="1">
      <c r="A6" s="1184" t="s">
        <v>170</v>
      </c>
      <c r="B6" s="1351" t="s">
        <v>1176</v>
      </c>
      <c r="C6" s="1185">
        <v>1429.7</v>
      </c>
      <c r="D6" s="1185">
        <v>1763.4446300000002</v>
      </c>
      <c r="E6" s="1185">
        <v>1354.6999999999998</v>
      </c>
      <c r="F6" s="1186">
        <v>1363.46</v>
      </c>
      <c r="G6" s="1189">
        <v>1372.5</v>
      </c>
      <c r="H6" s="1187">
        <v>686.25</v>
      </c>
      <c r="I6" s="1187">
        <v>686.25</v>
      </c>
      <c r="J6" s="1187">
        <f>J2-J4</f>
        <v>1815.54</v>
      </c>
      <c r="K6" s="1219">
        <v>1313.77692163178</v>
      </c>
      <c r="L6" s="1219">
        <v>656.88846081589</v>
      </c>
      <c r="M6" s="1219">
        <v>656.88846081589</v>
      </c>
      <c r="N6" s="1334">
        <v>1109.02</v>
      </c>
      <c r="O6" s="1185">
        <v>1313.77692163178</v>
      </c>
      <c r="P6" s="1219">
        <v>1313.77692163178</v>
      </c>
      <c r="Q6" s="1185">
        <f>P6/2</f>
        <v>656.88846081589</v>
      </c>
      <c r="R6" s="1185">
        <f>P6-Q6</f>
        <v>656.88846081589</v>
      </c>
      <c r="S6" s="1185"/>
      <c r="T6" s="1185">
        <v>1266.1136653277124</v>
      </c>
      <c r="U6" s="1185">
        <f>T6/2</f>
        <v>633.0568326638562</v>
      </c>
      <c r="V6" s="1185"/>
      <c r="W6" s="1185">
        <f>T6-U6</f>
        <v>633.0568326638562</v>
      </c>
      <c r="X6" s="1511">
        <v>1266.1136653277124</v>
      </c>
      <c r="Y6" s="1542">
        <f>X6/2</f>
        <v>633.0568326638562</v>
      </c>
      <c r="Z6" s="1455"/>
      <c r="AA6" s="1754">
        <f>X6-Y6</f>
        <v>633.0568326638562</v>
      </c>
      <c r="AB6" s="1455"/>
      <c r="AC6" s="1455"/>
      <c r="AD6" s="1455"/>
      <c r="AE6" s="1455"/>
    </row>
    <row r="7" spans="1:31" ht="15.75">
      <c r="A7" s="1184" t="s">
        <v>1177</v>
      </c>
      <c r="B7" s="1351" t="s">
        <v>1176</v>
      </c>
      <c r="C7" s="1185">
        <v>128.7</v>
      </c>
      <c r="D7" s="1185">
        <v>664.9064920000001</v>
      </c>
      <c r="E7" s="1185">
        <v>176.7</v>
      </c>
      <c r="F7" s="1186">
        <v>272.69</v>
      </c>
      <c r="G7" s="1189">
        <v>274.5</v>
      </c>
      <c r="H7" s="1187">
        <v>137.25</v>
      </c>
      <c r="I7" s="1187">
        <v>137.25</v>
      </c>
      <c r="J7" s="1187">
        <v>463.23255899999987</v>
      </c>
      <c r="K7" s="1219">
        <v>215.77692163177994</v>
      </c>
      <c r="L7" s="1219">
        <v>107.88846081588997</v>
      </c>
      <c r="M7" s="1219">
        <v>107.88846081588997</v>
      </c>
      <c r="N7" s="1334">
        <v>329.1471381999999</v>
      </c>
      <c r="O7" s="1185">
        <v>215.77692163177994</v>
      </c>
      <c r="P7" s="1219">
        <v>215.77692163177994</v>
      </c>
      <c r="Q7" s="1185">
        <f>P7/2</f>
        <v>107.88846081588997</v>
      </c>
      <c r="R7" s="1185">
        <f>P7-Q7</f>
        <v>107.88846081588997</v>
      </c>
      <c r="S7" s="1185"/>
      <c r="T7" s="1185">
        <v>202.578186452434</v>
      </c>
      <c r="U7" s="1185">
        <f>T7/2</f>
        <v>101.289093226217</v>
      </c>
      <c r="V7" s="1185"/>
      <c r="W7" s="1185">
        <f>T7-U7</f>
        <v>101.289093226217</v>
      </c>
      <c r="X7" s="1511">
        <v>202.578186452434</v>
      </c>
      <c r="Y7" s="1542">
        <f>X7/2</f>
        <v>101.289093226217</v>
      </c>
      <c r="Z7" s="1455"/>
      <c r="AA7" s="1754">
        <f>X7-Y7</f>
        <v>101.289093226217</v>
      </c>
      <c r="AB7" s="1455"/>
      <c r="AC7" s="1455"/>
      <c r="AD7" s="1455"/>
      <c r="AE7" s="1455"/>
    </row>
    <row r="8" spans="1:31" ht="15.75">
      <c r="A8" s="1184" t="s">
        <v>634</v>
      </c>
      <c r="B8" s="1351"/>
      <c r="C8" s="1185"/>
      <c r="D8" s="1185"/>
      <c r="E8" s="1185"/>
      <c r="F8" s="1190">
        <f>F7/F6</f>
        <v>0.1999985331436199</v>
      </c>
      <c r="G8" s="1191">
        <v>0.2</v>
      </c>
      <c r="H8" s="1191">
        <v>0.2</v>
      </c>
      <c r="I8" s="1191">
        <v>0.2</v>
      </c>
      <c r="J8" s="1324">
        <f>J7/J6</f>
        <v>0.25514863842162655</v>
      </c>
      <c r="K8" s="1324">
        <v>0.16424167457879657</v>
      </c>
      <c r="L8" s="1324">
        <v>0.16424167457879657</v>
      </c>
      <c r="M8" s="1324">
        <v>0.16424167457879657</v>
      </c>
      <c r="N8" s="1336">
        <f>N7/N6</f>
        <v>0.2967909850137959</v>
      </c>
      <c r="O8" s="1327">
        <v>0.16424167457879657</v>
      </c>
      <c r="P8" s="1324">
        <v>0.16424167457879657</v>
      </c>
      <c r="Q8" s="1327"/>
      <c r="R8" s="1327"/>
      <c r="S8" s="1327"/>
      <c r="T8" s="1190">
        <v>0.16000000000000003</v>
      </c>
      <c r="U8" s="1190"/>
      <c r="V8" s="1190"/>
      <c r="W8" s="1190"/>
      <c r="X8" s="1512">
        <v>0.16000000000000003</v>
      </c>
      <c r="Y8" s="1455"/>
      <c r="Z8" s="1455"/>
      <c r="AA8" s="1731"/>
      <c r="AB8" s="1455"/>
      <c r="AC8" s="1455"/>
      <c r="AD8" s="1455"/>
      <c r="AE8" s="1455"/>
    </row>
    <row r="9" spans="1:31" s="1589" customFormat="1" ht="15.75">
      <c r="A9" s="1578" t="s">
        <v>1316</v>
      </c>
      <c r="B9" s="1579"/>
      <c r="C9" s="1580">
        <v>1301</v>
      </c>
      <c r="D9" s="1580">
        <v>1098.5381380000001</v>
      </c>
      <c r="E9" s="1580">
        <v>1177.9999999999998</v>
      </c>
      <c r="F9" s="1581">
        <v>1178</v>
      </c>
      <c r="G9" s="1582">
        <v>1098</v>
      </c>
      <c r="H9" s="1583">
        <v>549</v>
      </c>
      <c r="I9" s="1583">
        <v>549</v>
      </c>
      <c r="J9" s="1583">
        <f>J11+J13</f>
        <v>0</v>
      </c>
      <c r="K9" s="1583">
        <v>1098</v>
      </c>
      <c r="L9" s="1583">
        <v>549</v>
      </c>
      <c r="M9" s="1583">
        <v>549</v>
      </c>
      <c r="N9" s="1584">
        <f>770111.58/1000</f>
        <v>770.11158</v>
      </c>
      <c r="O9" s="1583">
        <v>1098</v>
      </c>
      <c r="P9" s="1583">
        <v>1098</v>
      </c>
      <c r="Q9" s="1585">
        <f>P9/2</f>
        <v>549</v>
      </c>
      <c r="R9" s="1585">
        <f>P9-Q9</f>
        <v>549</v>
      </c>
      <c r="S9" s="1585"/>
      <c r="T9" s="1583">
        <v>1063.5354788752784</v>
      </c>
      <c r="U9" s="1582">
        <f>T9/2</f>
        <v>531.7677394376392</v>
      </c>
      <c r="V9" s="1582"/>
      <c r="W9" s="1582">
        <f>T9-U9</f>
        <v>531.7677394376392</v>
      </c>
      <c r="X9" s="1586">
        <v>1063.5354788752784</v>
      </c>
      <c r="Y9" s="1587">
        <f>X9/2</f>
        <v>531.7677394376392</v>
      </c>
      <c r="Z9" s="1588"/>
      <c r="AA9" s="1755">
        <f>X9-Y9</f>
        <v>531.7677394376392</v>
      </c>
      <c r="AB9" s="1588"/>
      <c r="AC9" s="1588"/>
      <c r="AD9" s="1588"/>
      <c r="AE9" s="1588"/>
    </row>
    <row r="10" spans="1:31" ht="15.75">
      <c r="A10" s="1318"/>
      <c r="B10" s="1352"/>
      <c r="C10" s="1193"/>
      <c r="D10" s="1193"/>
      <c r="E10" s="1193"/>
      <c r="F10" s="1186"/>
      <c r="G10" s="1187"/>
      <c r="H10" s="1196"/>
      <c r="I10" s="1196"/>
      <c r="J10" s="1196"/>
      <c r="K10" s="1196"/>
      <c r="L10" s="1196"/>
      <c r="M10" s="1196"/>
      <c r="N10" s="1333"/>
      <c r="O10" s="1333"/>
      <c r="P10" s="1196"/>
      <c r="Q10" s="1193"/>
      <c r="R10" s="1193"/>
      <c r="S10" s="1193"/>
      <c r="T10" s="1196"/>
      <c r="U10" s="1196"/>
      <c r="V10" s="1196"/>
      <c r="W10" s="1196"/>
      <c r="X10" s="1513"/>
      <c r="Y10" s="1455"/>
      <c r="Z10" s="1455"/>
      <c r="AA10" s="1731"/>
      <c r="AB10" s="1455"/>
      <c r="AC10" s="1455"/>
      <c r="AD10" s="1455"/>
      <c r="AE10" s="1455"/>
    </row>
    <row r="11" spans="1:31" ht="15.75">
      <c r="A11" s="1184" t="s">
        <v>1208</v>
      </c>
      <c r="B11" s="1351" t="s">
        <v>1176</v>
      </c>
      <c r="C11" s="1185">
        <v>965</v>
      </c>
      <c r="D11" s="1185">
        <v>814.213779</v>
      </c>
      <c r="E11" s="1185">
        <v>879</v>
      </c>
      <c r="F11" s="1186">
        <v>827.62</v>
      </c>
      <c r="G11" s="1189">
        <v>814</v>
      </c>
      <c r="H11" s="1187">
        <v>407</v>
      </c>
      <c r="I11" s="1187">
        <v>407</v>
      </c>
      <c r="J11" s="1185">
        <f>'баланс вс'!I48</f>
        <v>0</v>
      </c>
      <c r="K11" s="1185">
        <v>804.950387932118</v>
      </c>
      <c r="L11" s="1219">
        <v>402.475193966059</v>
      </c>
      <c r="M11" s="1219">
        <v>402.475193966059</v>
      </c>
      <c r="N11" s="1334">
        <f>554810.58/1000</f>
        <v>554.81058</v>
      </c>
      <c r="O11" s="1219">
        <v>804.950387932118</v>
      </c>
      <c r="P11" s="1185">
        <v>804.950387932118</v>
      </c>
      <c r="Q11" s="1185">
        <f>P11/2</f>
        <v>402.475193966059</v>
      </c>
      <c r="R11" s="1185">
        <f>P11-Q11</f>
        <v>402.475193966059</v>
      </c>
      <c r="S11" s="1185"/>
      <c r="T11" s="1219">
        <v>739.7474399999999</v>
      </c>
      <c r="U11" s="1185">
        <f>T11/2</f>
        <v>369.87371999999993</v>
      </c>
      <c r="V11" s="1185"/>
      <c r="W11" s="1185">
        <f>T11-U11</f>
        <v>369.87371999999993</v>
      </c>
      <c r="X11" s="1514">
        <v>739.7474399999999</v>
      </c>
      <c r="Y11" s="1542">
        <f>X11/2</f>
        <v>369.87371999999993</v>
      </c>
      <c r="Z11" s="1455"/>
      <c r="AA11" s="1754">
        <f>X11-Y11</f>
        <v>369.87371999999993</v>
      </c>
      <c r="AB11" s="1455"/>
      <c r="AC11" s="1455"/>
      <c r="AD11" s="1455"/>
      <c r="AE11" s="1455"/>
    </row>
    <row r="12" spans="1:31" ht="15.75">
      <c r="A12" s="1184" t="s">
        <v>1178</v>
      </c>
      <c r="B12" s="1351" t="s">
        <v>1176</v>
      </c>
      <c r="C12" s="1185">
        <v>41</v>
      </c>
      <c r="D12" s="1185">
        <v>39.13827800000001</v>
      </c>
      <c r="E12" s="1185">
        <v>41</v>
      </c>
      <c r="F12" s="1186">
        <v>46.95</v>
      </c>
      <c r="G12" s="1189">
        <v>39</v>
      </c>
      <c r="H12" s="1187">
        <v>19.5</v>
      </c>
      <c r="I12" s="1187">
        <v>19.5</v>
      </c>
      <c r="J12" s="1185">
        <f>'баланс вс'!I49</f>
        <v>0</v>
      </c>
      <c r="K12" s="1185">
        <v>46.97846269457705</v>
      </c>
      <c r="L12" s="1219"/>
      <c r="M12" s="1219"/>
      <c r="N12" s="1334">
        <f>31782.84/1000</f>
        <v>31.78284</v>
      </c>
      <c r="O12" s="1219">
        <v>46.97846269457705</v>
      </c>
      <c r="P12" s="1185">
        <v>46.97846269457705</v>
      </c>
      <c r="Q12" s="1185">
        <f>P12/2</f>
        <v>23.489231347288523</v>
      </c>
      <c r="R12" s="1185">
        <f>P12-Q12</f>
        <v>23.489231347288523</v>
      </c>
      <c r="S12" s="1185"/>
      <c r="T12" s="1219">
        <v>42.37712</v>
      </c>
      <c r="U12" s="1185">
        <f>T12/2</f>
        <v>21.18856</v>
      </c>
      <c r="V12" s="1185"/>
      <c r="W12" s="1185">
        <f>T12-U12</f>
        <v>21.18856</v>
      </c>
      <c r="X12" s="1514">
        <v>42.37712</v>
      </c>
      <c r="Y12" s="1542">
        <f>X12/2</f>
        <v>21.18856</v>
      </c>
      <c r="Z12" s="1455"/>
      <c r="AA12" s="1754">
        <f>X12-Y12</f>
        <v>21.18856</v>
      </c>
      <c r="AB12" s="1455"/>
      <c r="AC12" s="1455"/>
      <c r="AD12" s="1455"/>
      <c r="AE12" s="1455"/>
    </row>
    <row r="13" spans="1:31" ht="15.75">
      <c r="A13" s="1184" t="s">
        <v>1179</v>
      </c>
      <c r="B13" s="1351" t="s">
        <v>1176</v>
      </c>
      <c r="C13" s="1185">
        <v>295</v>
      </c>
      <c r="D13" s="1185">
        <v>245.186081</v>
      </c>
      <c r="E13" s="1185">
        <v>258</v>
      </c>
      <c r="F13" s="1186">
        <v>216.23</v>
      </c>
      <c r="G13" s="1189">
        <v>245</v>
      </c>
      <c r="H13" s="1187">
        <v>122.5</v>
      </c>
      <c r="I13" s="1187">
        <v>122.5</v>
      </c>
      <c r="J13" s="1185">
        <f>'баланс вс'!I50</f>
        <v>0</v>
      </c>
      <c r="K13" s="1185">
        <f>K9-K11</f>
        <v>293.049612067882</v>
      </c>
      <c r="L13" s="1219">
        <v>123.03557468665247</v>
      </c>
      <c r="M13" s="1219">
        <v>123.03557468665247</v>
      </c>
      <c r="N13" s="1334">
        <f>183518.16/1000</f>
        <v>183.51816</v>
      </c>
      <c r="O13" s="1219">
        <v>293.049612067882</v>
      </c>
      <c r="P13" s="1185">
        <f>P9-P11</f>
        <v>293.049612067882</v>
      </c>
      <c r="Q13" s="1185">
        <f>P13/2</f>
        <v>146.524806033941</v>
      </c>
      <c r="R13" s="1185">
        <f>P13-Q13</f>
        <v>146.524806033941</v>
      </c>
      <c r="S13" s="1185"/>
      <c r="T13" s="1219">
        <v>281.4109188752785</v>
      </c>
      <c r="U13" s="1185">
        <f>T13/2</f>
        <v>140.70545943763926</v>
      </c>
      <c r="V13" s="1185"/>
      <c r="W13" s="1185">
        <f>T13-U13</f>
        <v>140.70545943763926</v>
      </c>
      <c r="X13" s="1514">
        <v>281.4109188752785</v>
      </c>
      <c r="Y13" s="1455"/>
      <c r="Z13" s="1455"/>
      <c r="AA13" s="1731"/>
      <c r="AB13" s="1455"/>
      <c r="AC13" s="1455"/>
      <c r="AD13" s="1455"/>
      <c r="AE13" s="1455"/>
    </row>
    <row r="14" spans="1:31" ht="32.25" thickBot="1">
      <c r="A14" s="1461" t="s">
        <v>572</v>
      </c>
      <c r="B14" s="1462"/>
      <c r="C14" s="1463"/>
      <c r="D14" s="1463"/>
      <c r="E14" s="1463"/>
      <c r="F14" s="1464"/>
      <c r="G14" s="1465"/>
      <c r="H14" s="1466"/>
      <c r="I14" s="1466"/>
      <c r="J14" s="1463"/>
      <c r="K14" s="1466"/>
      <c r="L14" s="1467"/>
      <c r="M14" s="1467"/>
      <c r="N14" s="1468" t="e">
        <f>(N9-J9/12*9)/(J9/12*9)</f>
        <v>#DIV/0!</v>
      </c>
      <c r="O14" s="1469"/>
      <c r="P14" s="1466"/>
      <c r="Q14" s="1469"/>
      <c r="R14" s="1469"/>
      <c r="S14" s="1469"/>
      <c r="T14" s="1469"/>
      <c r="U14" s="1469"/>
      <c r="V14" s="1469"/>
      <c r="W14" s="1469"/>
      <c r="X14" s="1515"/>
      <c r="Y14" s="1542"/>
      <c r="Z14" s="1455"/>
      <c r="AA14" s="1754"/>
      <c r="AB14" s="1455"/>
      <c r="AC14" s="1455"/>
      <c r="AD14" s="1455"/>
      <c r="AE14" s="1455"/>
    </row>
    <row r="15" spans="1:31" s="159" customFormat="1" ht="27" customHeight="1">
      <c r="A15" s="1478" t="s">
        <v>1355</v>
      </c>
      <c r="B15" s="1479"/>
      <c r="C15" s="1480"/>
      <c r="D15" s="1481"/>
      <c r="E15" s="1481"/>
      <c r="F15" s="1481"/>
      <c r="G15" s="1482"/>
      <c r="H15" s="1481"/>
      <c r="I15" s="1481"/>
      <c r="J15" s="1481"/>
      <c r="K15" s="1481"/>
      <c r="L15" s="1483"/>
      <c r="M15" s="1481"/>
      <c r="N15" s="1481"/>
      <c r="O15" s="1481"/>
      <c r="P15" s="1484"/>
      <c r="Q15" s="1485"/>
      <c r="R15" s="1557">
        <f>R20+R21+R26+R33+R49+R62+R73+R78+R80</f>
        <v>12192.054955445621</v>
      </c>
      <c r="S15" s="1557"/>
      <c r="T15" s="1677">
        <f>T20+T21+T26+T33+T49+T62+T73+T78+T80</f>
        <v>24986.397425690255</v>
      </c>
      <c r="U15" s="1557">
        <f>U20+U21+U26+U33+U49+U62+U73+U78+U80</f>
        <v>12192.054955445621</v>
      </c>
      <c r="V15" s="1557"/>
      <c r="W15" s="1557">
        <f>U15*V19</f>
        <v>12794.342470244635</v>
      </c>
      <c r="X15" s="1678">
        <f>W15/U15</f>
        <v>1.0494</v>
      </c>
      <c r="Y15" s="1557">
        <f>W15</f>
        <v>12794.342470244635</v>
      </c>
      <c r="Z15" s="1651"/>
      <c r="AA15" s="1736">
        <f>Y15*Z19</f>
        <v>13299.7189978193</v>
      </c>
      <c r="AB15" s="1765"/>
      <c r="AC15" s="1765"/>
      <c r="AD15" s="1765"/>
      <c r="AE15" s="1765"/>
    </row>
    <row r="16" spans="1:31" s="122" customFormat="1" ht="18.75">
      <c r="A16" s="1486" t="s">
        <v>1356</v>
      </c>
      <c r="B16" s="1487"/>
      <c r="C16" s="123"/>
      <c r="D16" s="1447"/>
      <c r="E16" s="1447"/>
      <c r="F16" s="1448"/>
      <c r="G16" s="1449"/>
      <c r="H16" s="129"/>
      <c r="I16" s="129"/>
      <c r="J16" s="129"/>
      <c r="K16" s="129"/>
      <c r="L16" s="1450"/>
      <c r="M16" s="129"/>
      <c r="N16" s="129"/>
      <c r="O16" s="129"/>
      <c r="P16" s="1446"/>
      <c r="Q16" s="1451"/>
      <c r="R16" s="1452"/>
      <c r="S16" s="1452"/>
      <c r="T16" s="1453"/>
      <c r="U16" s="1453"/>
      <c r="V16" s="1459">
        <v>0.01</v>
      </c>
      <c r="W16" s="1453"/>
      <c r="X16" s="1517"/>
      <c r="Y16" s="129"/>
      <c r="Z16" s="1536">
        <v>0.01</v>
      </c>
      <c r="AA16" s="1517"/>
      <c r="AB16" s="129"/>
      <c r="AC16" s="129"/>
      <c r="AD16" s="129"/>
      <c r="AE16" s="129"/>
    </row>
    <row r="17" spans="1:31" s="122" customFormat="1" ht="18.75">
      <c r="A17" s="1486" t="s">
        <v>1361</v>
      </c>
      <c r="B17" s="1487"/>
      <c r="C17" s="123"/>
      <c r="D17" s="1447"/>
      <c r="E17" s="1447"/>
      <c r="F17" s="1448"/>
      <c r="G17" s="1449"/>
      <c r="H17" s="129"/>
      <c r="I17" s="129"/>
      <c r="J17" s="129"/>
      <c r="K17" s="129"/>
      <c r="L17" s="1450"/>
      <c r="M17" s="129"/>
      <c r="N17" s="129"/>
      <c r="O17" s="129"/>
      <c r="P17" s="1446"/>
      <c r="Q17" s="1451"/>
      <c r="R17" s="1452"/>
      <c r="S17" s="1452"/>
      <c r="T17" s="1453"/>
      <c r="U17" s="1453"/>
      <c r="V17" s="1459">
        <v>0.06</v>
      </c>
      <c r="W17" s="1453"/>
      <c r="X17" s="1517"/>
      <c r="Y17" s="129"/>
      <c r="Z17" s="1536">
        <v>0.05</v>
      </c>
      <c r="AA17" s="1517"/>
      <c r="AB17" s="129"/>
      <c r="AC17" s="129"/>
      <c r="AD17" s="129"/>
      <c r="AE17" s="129"/>
    </row>
    <row r="18" spans="1:31" s="122" customFormat="1" ht="18.75">
      <c r="A18" s="1488" t="s">
        <v>1357</v>
      </c>
      <c r="B18" s="1487"/>
      <c r="C18" s="145"/>
      <c r="D18" s="129"/>
      <c r="E18" s="129"/>
      <c r="F18" s="129"/>
      <c r="G18" s="1454"/>
      <c r="H18" s="129"/>
      <c r="I18" s="129"/>
      <c r="J18" s="129"/>
      <c r="K18" s="129"/>
      <c r="L18" s="1455"/>
      <c r="M18" s="129"/>
      <c r="N18" s="129"/>
      <c r="O18" s="129"/>
      <c r="P18" s="1445"/>
      <c r="Q18" s="1445"/>
      <c r="R18" s="1456"/>
      <c r="S18" s="1456"/>
      <c r="T18" s="1457"/>
      <c r="U18" s="1457"/>
      <c r="V18" s="1460">
        <v>0</v>
      </c>
      <c r="W18" s="1457"/>
      <c r="X18" s="1457"/>
      <c r="Y18" s="129"/>
      <c r="Z18" s="1537">
        <v>0</v>
      </c>
      <c r="AA18" s="1517"/>
      <c r="AB18" s="129"/>
      <c r="AC18" s="129"/>
      <c r="AD18" s="129"/>
      <c r="AE18" s="129"/>
    </row>
    <row r="19" spans="1:31" s="122" customFormat="1" ht="18.75">
      <c r="A19" s="1488" t="s">
        <v>1362</v>
      </c>
      <c r="B19" s="1487"/>
      <c r="C19" s="145"/>
      <c r="D19" s="129"/>
      <c r="E19" s="129"/>
      <c r="F19" s="129"/>
      <c r="G19" s="1454"/>
      <c r="H19" s="129"/>
      <c r="I19" s="129"/>
      <c r="J19" s="129"/>
      <c r="K19" s="129"/>
      <c r="L19" s="1455"/>
      <c r="M19" s="129"/>
      <c r="N19" s="129"/>
      <c r="O19" s="129"/>
      <c r="P19" s="1445"/>
      <c r="Q19" s="1445"/>
      <c r="R19" s="1456"/>
      <c r="S19" s="1456"/>
      <c r="T19" s="1457"/>
      <c r="U19" s="1457"/>
      <c r="V19" s="1457">
        <f>(1-V16)*(1+V17)*(1+V18)</f>
        <v>1.0494</v>
      </c>
      <c r="W19" s="1457"/>
      <c r="X19" s="1457"/>
      <c r="Y19" s="129"/>
      <c r="Z19" s="1445">
        <f>(1-Z16)*(1+Z17)*(1+Z18)</f>
        <v>1.0395</v>
      </c>
      <c r="AA19" s="1517"/>
      <c r="AB19" s="129"/>
      <c r="AC19" s="129"/>
      <c r="AD19" s="129"/>
      <c r="AE19" s="129"/>
    </row>
    <row r="20" spans="1:31" ht="15.75">
      <c r="A20" s="1489" t="s">
        <v>1163</v>
      </c>
      <c r="B20" s="1352" t="s">
        <v>1182</v>
      </c>
      <c r="C20" s="1198">
        <v>1610</v>
      </c>
      <c r="D20" s="1198">
        <v>2645.01</v>
      </c>
      <c r="E20" s="1198">
        <v>2225.82</v>
      </c>
      <c r="F20" s="1186">
        <v>1850.83</v>
      </c>
      <c r="G20" s="1187">
        <v>1593.1499252975038</v>
      </c>
      <c r="H20" s="1201">
        <v>777.9052369616718</v>
      </c>
      <c r="I20" s="1201">
        <v>815.244688335832</v>
      </c>
      <c r="J20" s="1201">
        <v>1397.6915000000001</v>
      </c>
      <c r="K20" s="1187">
        <v>1658.4690722347013</v>
      </c>
      <c r="L20" s="1204">
        <v>829.2345361173507</v>
      </c>
      <c r="M20" s="1204">
        <v>829.2345361173507</v>
      </c>
      <c r="N20" s="1253">
        <v>2105.52828</v>
      </c>
      <c r="O20" s="1201">
        <f>P20</f>
        <v>1755.9237107917036</v>
      </c>
      <c r="P20" s="1201">
        <v>1755.9237107917036</v>
      </c>
      <c r="Q20" s="1185">
        <f>P20/2</f>
        <v>877.9618553958518</v>
      </c>
      <c r="R20" s="1185">
        <f>P20-Q20</f>
        <v>877.9618553958518</v>
      </c>
      <c r="S20" s="1185"/>
      <c r="T20" s="1196">
        <f>U20+W20</f>
        <v>1799.2950264482588</v>
      </c>
      <c r="U20" s="1196">
        <f>R20</f>
        <v>877.9618553958518</v>
      </c>
      <c r="V20" s="1598">
        <f>W20/U20</f>
        <v>1.0494</v>
      </c>
      <c r="W20" s="1196">
        <f>U20*$V$19</f>
        <v>921.333171052407</v>
      </c>
      <c r="X20" s="1518"/>
      <c r="Y20" s="1455"/>
      <c r="Z20" s="1455"/>
      <c r="AA20" s="1731"/>
      <c r="AB20" s="1455"/>
      <c r="AC20" s="1455"/>
      <c r="AD20" s="1455"/>
      <c r="AE20" s="1455"/>
    </row>
    <row r="21" spans="1:31" ht="47.25">
      <c r="A21" s="1489" t="s">
        <v>1269</v>
      </c>
      <c r="B21" s="1352" t="s">
        <v>1182</v>
      </c>
      <c r="C21" s="1193">
        <v>50</v>
      </c>
      <c r="D21" s="1193">
        <v>230.94</v>
      </c>
      <c r="E21" s="1193" t="s">
        <v>633</v>
      </c>
      <c r="F21" s="1186">
        <v>321.26</v>
      </c>
      <c r="G21" s="1205" t="s">
        <v>633</v>
      </c>
      <c r="H21" s="1193"/>
      <c r="I21" s="1193"/>
      <c r="J21" s="1196">
        <v>790.58161</v>
      </c>
      <c r="K21" s="1187">
        <f>K24</f>
        <v>-601.5671</v>
      </c>
      <c r="L21" s="1206">
        <v>1248.480048038637</v>
      </c>
      <c r="M21" s="1206"/>
      <c r="N21" s="1334">
        <f>N22+N24</f>
        <v>184.60601000000003</v>
      </c>
      <c r="O21" s="1206">
        <v>2057.698514891099</v>
      </c>
      <c r="P21" s="1206">
        <f>Q21+R21</f>
        <v>1716.7321200000001</v>
      </c>
      <c r="Q21" s="1185">
        <f>Q22+Q23+Q24</f>
        <v>723.495</v>
      </c>
      <c r="R21" s="1185">
        <f>R22+R23+R24</f>
        <v>993.23712</v>
      </c>
      <c r="S21" s="1185"/>
      <c r="T21" s="1196">
        <f>U21+W21</f>
        <v>2035.5401537280002</v>
      </c>
      <c r="U21" s="1196">
        <f>R21</f>
        <v>993.23712</v>
      </c>
      <c r="V21" s="1598">
        <f>W21/U21</f>
        <v>1.0494</v>
      </c>
      <c r="W21" s="1196">
        <f>U21*$V$19</f>
        <v>1042.3030337280002</v>
      </c>
      <c r="X21" s="1519"/>
      <c r="Y21" s="1455"/>
      <c r="Z21" s="1455"/>
      <c r="AA21" s="1731"/>
      <c r="AB21" s="1455"/>
      <c r="AC21" s="1455"/>
      <c r="AD21" s="1455"/>
      <c r="AE21" s="1455"/>
    </row>
    <row r="22" spans="1:31" ht="15.75" hidden="1">
      <c r="A22" s="1490" t="s">
        <v>867</v>
      </c>
      <c r="B22" s="1352"/>
      <c r="C22" s="1193"/>
      <c r="D22" s="1193"/>
      <c r="E22" s="1193"/>
      <c r="F22" s="1186"/>
      <c r="G22" s="1205"/>
      <c r="H22" s="1193"/>
      <c r="I22" s="1193"/>
      <c r="J22" s="1196"/>
      <c r="K22" s="1187"/>
      <c r="L22" s="1206"/>
      <c r="M22" s="1206"/>
      <c r="N22" s="1333">
        <v>98.14106000000001</v>
      </c>
      <c r="O22" s="1206"/>
      <c r="P22" s="1334">
        <f>ремонты!D8</f>
        <v>1001.6179999999999</v>
      </c>
      <c r="Q22" s="1334">
        <f>P22/2</f>
        <v>500.80899999999997</v>
      </c>
      <c r="R22" s="1334">
        <f>P22-Q22</f>
        <v>500.80899999999997</v>
      </c>
      <c r="S22" s="1334"/>
      <c r="T22" s="1206"/>
      <c r="U22" s="1206"/>
      <c r="V22" s="1599"/>
      <c r="W22" s="1206"/>
      <c r="X22" s="1519"/>
      <c r="Y22" s="1455"/>
      <c r="Z22" s="1455"/>
      <c r="AA22" s="1731"/>
      <c r="AB22" s="1455"/>
      <c r="AC22" s="1455"/>
      <c r="AD22" s="1455"/>
      <c r="AE22" s="1455"/>
    </row>
    <row r="23" spans="1:31" ht="33.75" customHeight="1" hidden="1">
      <c r="A23" s="1490" t="s">
        <v>1034</v>
      </c>
      <c r="B23" s="1352" t="s">
        <v>1182</v>
      </c>
      <c r="C23" s="1198"/>
      <c r="D23" s="1198"/>
      <c r="E23" s="1198"/>
      <c r="F23" s="1198"/>
      <c r="G23" s="1201">
        <v>233.65440000000004</v>
      </c>
      <c r="H23" s="1198">
        <v>113.92848000000002</v>
      </c>
      <c r="I23" s="1198">
        <v>119.72592000000002</v>
      </c>
      <c r="J23" s="1198"/>
      <c r="K23" s="1198"/>
      <c r="L23" s="1316"/>
      <c r="M23" s="1316"/>
      <c r="N23" s="1253"/>
      <c r="O23" s="1316"/>
      <c r="P23" s="1219"/>
      <c r="Q23" s="1316"/>
      <c r="R23" s="1316"/>
      <c r="S23" s="1316"/>
      <c r="T23" s="1316"/>
      <c r="U23" s="1316"/>
      <c r="V23" s="1600"/>
      <c r="W23" s="1316"/>
      <c r="X23" s="1520"/>
      <c r="Y23" s="1455"/>
      <c r="Z23" s="1455"/>
      <c r="AA23" s="1731"/>
      <c r="AB23" s="1455"/>
      <c r="AC23" s="1455"/>
      <c r="AD23" s="1455"/>
      <c r="AE23" s="1455"/>
    </row>
    <row r="24" spans="1:31" s="118" customFormat="1" ht="33" customHeight="1" hidden="1">
      <c r="A24" s="1490" t="s">
        <v>195</v>
      </c>
      <c r="B24" s="1352" t="s">
        <v>1182</v>
      </c>
      <c r="C24" s="1207"/>
      <c r="D24" s="1207"/>
      <c r="E24" s="1207"/>
      <c r="F24" s="1207"/>
      <c r="G24" s="1207"/>
      <c r="H24" s="1207"/>
      <c r="I24" s="1207"/>
      <c r="J24" s="1207"/>
      <c r="K24" s="1185">
        <f>-'[3]водоснабжение '!$O$38</f>
        <v>-601.5671</v>
      </c>
      <c r="L24" s="1204">
        <v>2263.4763</v>
      </c>
      <c r="M24" s="1204">
        <v>624.25</v>
      </c>
      <c r="N24" s="1333">
        <v>86.46495000000002</v>
      </c>
      <c r="O24" s="1198">
        <v>1176.1881610169492</v>
      </c>
      <c r="P24" s="1198"/>
      <c r="Q24" s="1198">
        <v>222.686</v>
      </c>
      <c r="R24" s="1198">
        <v>492.42812</v>
      </c>
      <c r="S24" s="1198"/>
      <c r="T24" s="1198"/>
      <c r="U24" s="1198"/>
      <c r="V24" s="1601"/>
      <c r="W24" s="1198"/>
      <c r="X24" s="1521"/>
      <c r="Y24" s="1538"/>
      <c r="Z24" s="1538"/>
      <c r="AA24" s="1756"/>
      <c r="AB24" s="1538"/>
      <c r="AC24" s="1538"/>
      <c r="AD24" s="1538"/>
      <c r="AE24" s="1538"/>
    </row>
    <row r="25" spans="1:31" s="118" customFormat="1" ht="15.75">
      <c r="A25" s="1490" t="s">
        <v>1267</v>
      </c>
      <c r="B25" s="1352"/>
      <c r="C25" s="1207"/>
      <c r="D25" s="1207"/>
      <c r="E25" s="1207"/>
      <c r="F25" s="1207"/>
      <c r="G25" s="1207"/>
      <c r="H25" s="1207"/>
      <c r="I25" s="1207"/>
      <c r="J25" s="1207"/>
      <c r="K25" s="1185"/>
      <c r="L25" s="1204"/>
      <c r="M25" s="1204"/>
      <c r="N25" s="1346"/>
      <c r="O25" s="1198">
        <v>881.5103538741498</v>
      </c>
      <c r="P25" s="1198"/>
      <c r="Q25" s="1198"/>
      <c r="R25" s="1198"/>
      <c r="S25" s="1198"/>
      <c r="T25" s="1198"/>
      <c r="U25" s="1198"/>
      <c r="V25" s="1601"/>
      <c r="W25" s="1198"/>
      <c r="X25" s="1521"/>
      <c r="Y25" s="1538"/>
      <c r="Z25" s="1538"/>
      <c r="AA25" s="1756"/>
      <c r="AB25" s="1538"/>
      <c r="AC25" s="1538"/>
      <c r="AD25" s="1538"/>
      <c r="AE25" s="1538"/>
    </row>
    <row r="26" spans="1:31" ht="15.75">
      <c r="A26" s="1491" t="s">
        <v>1067</v>
      </c>
      <c r="B26" s="1352" t="s">
        <v>1182</v>
      </c>
      <c r="C26" s="1198">
        <v>3082</v>
      </c>
      <c r="D26" s="1198">
        <v>2879.82</v>
      </c>
      <c r="E26" s="1198">
        <v>2875.2</v>
      </c>
      <c r="F26" s="1186">
        <v>3387.52</v>
      </c>
      <c r="G26" s="1206">
        <v>2826.8588485638943</v>
      </c>
      <c r="H26" s="1189">
        <v>1380.302172150339</v>
      </c>
      <c r="I26" s="1189">
        <v>1446.5566764135554</v>
      </c>
      <c r="J26" s="1206">
        <v>3440.7545700000005</v>
      </c>
      <c r="K26" s="1187">
        <v>3430.4475296775595</v>
      </c>
      <c r="L26" s="1206">
        <v>1715.2237648387797</v>
      </c>
      <c r="M26" s="1206">
        <v>1715.2237648387797</v>
      </c>
      <c r="N26" s="1334">
        <v>2580.57921</v>
      </c>
      <c r="O26" s="1206">
        <v>3685.7416110792656</v>
      </c>
      <c r="P26" s="1206">
        <f>'ФОТ основных'!V10*0.001</f>
        <v>3344.463780308896</v>
      </c>
      <c r="Q26" s="1185">
        <f>P26/2</f>
        <v>1672.231890154448</v>
      </c>
      <c r="R26" s="1185">
        <f>P26-Q26</f>
        <v>1672.231890154448</v>
      </c>
      <c r="S26" s="1185"/>
      <c r="T26" s="1196">
        <f>U26+W26</f>
        <v>3427.072035682526</v>
      </c>
      <c r="U26" s="1196">
        <f>R26</f>
        <v>1672.231890154448</v>
      </c>
      <c r="V26" s="1598">
        <f>W26/U26</f>
        <v>1.0494</v>
      </c>
      <c r="W26" s="1196">
        <f>U26*$V$19</f>
        <v>1754.8401455280778</v>
      </c>
      <c r="X26" s="1519"/>
      <c r="Y26" s="1455"/>
      <c r="Z26" s="1455"/>
      <c r="AA26" s="1731"/>
      <c r="AB26" s="1455"/>
      <c r="AC26" s="1455"/>
      <c r="AD26" s="1455"/>
      <c r="AE26" s="1455"/>
    </row>
    <row r="27" spans="1:31" ht="15.75">
      <c r="A27" s="1492" t="s">
        <v>1190</v>
      </c>
      <c r="B27" s="1352" t="s">
        <v>1189</v>
      </c>
      <c r="C27" s="1198">
        <v>11674.242424242424</v>
      </c>
      <c r="D27" s="1198">
        <v>13332.500000000002</v>
      </c>
      <c r="E27" s="1198">
        <v>13311.11111111111</v>
      </c>
      <c r="F27" s="1186">
        <v>14114.66</v>
      </c>
      <c r="G27" s="1186">
        <f>13.0873094840921*1000</f>
        <v>13087.309484092099</v>
      </c>
      <c r="H27" s="1186">
        <v>12.780575668058693</v>
      </c>
      <c r="I27" s="1186"/>
      <c r="J27" s="1347">
        <f>J26/12/J28*1000</f>
        <v>15929.419305555557</v>
      </c>
      <c r="K27" s="1347">
        <f>K26/K28/12</f>
        <v>15.881701526284997</v>
      </c>
      <c r="L27" s="1347"/>
      <c r="M27" s="1347"/>
      <c r="N27" s="1347">
        <f>N26/9/N28*1000</f>
        <v>15929.501296296296</v>
      </c>
      <c r="O27" s="1347">
        <v>17063.618569811413</v>
      </c>
      <c r="P27" s="1347">
        <f>P26/P28/12</f>
        <v>15.483628612541184</v>
      </c>
      <c r="Q27" s="1185"/>
      <c r="R27" s="1185"/>
      <c r="S27" s="1185"/>
      <c r="T27" s="1185"/>
      <c r="U27" s="1185"/>
      <c r="V27" s="1602"/>
      <c r="W27" s="1185"/>
      <c r="X27" s="1522"/>
      <c r="Y27" s="1455"/>
      <c r="Z27" s="1455"/>
      <c r="AA27" s="1731"/>
      <c r="AB27" s="1455"/>
      <c r="AC27" s="1455"/>
      <c r="AD27" s="1455"/>
      <c r="AE27" s="1455"/>
    </row>
    <row r="28" spans="1:31" ht="15.75">
      <c r="A28" s="1492" t="s">
        <v>926</v>
      </c>
      <c r="B28" s="1354" t="s">
        <v>1204</v>
      </c>
      <c r="C28" s="1198">
        <v>22</v>
      </c>
      <c r="D28" s="1198">
        <v>18</v>
      </c>
      <c r="E28" s="1198">
        <v>18</v>
      </c>
      <c r="F28" s="1186">
        <v>20</v>
      </c>
      <c r="G28" s="1254">
        <v>18</v>
      </c>
      <c r="H28" s="1209">
        <v>18</v>
      </c>
      <c r="I28" s="1209"/>
      <c r="J28" s="1338">
        <v>18</v>
      </c>
      <c r="K28" s="1338">
        <v>18</v>
      </c>
      <c r="L28" s="1338"/>
      <c r="M28" s="1338"/>
      <c r="N28" s="1338">
        <v>18</v>
      </c>
      <c r="O28" s="1338">
        <v>18</v>
      </c>
      <c r="P28" s="1338">
        <f>'ФОТ основных'!G10</f>
        <v>18</v>
      </c>
      <c r="Q28" s="1215"/>
      <c r="R28" s="1215"/>
      <c r="S28" s="1215"/>
      <c r="T28" s="1215"/>
      <c r="U28" s="1215"/>
      <c r="V28" s="1603"/>
      <c r="W28" s="1215"/>
      <c r="X28" s="1523"/>
      <c r="Y28" s="1455"/>
      <c r="Z28" s="1455"/>
      <c r="AA28" s="1731"/>
      <c r="AB28" s="1455"/>
      <c r="AC28" s="1455"/>
      <c r="AD28" s="1455"/>
      <c r="AE28" s="1455"/>
    </row>
    <row r="29" spans="1:31" s="1555" customFormat="1" ht="30">
      <c r="A29" s="1708" t="s">
        <v>1374</v>
      </c>
      <c r="B29" s="1709" t="s">
        <v>1183</v>
      </c>
      <c r="C29" s="1710"/>
      <c r="D29" s="1710">
        <v>4121</v>
      </c>
      <c r="E29" s="1710"/>
      <c r="F29" s="1711">
        <v>0</v>
      </c>
      <c r="G29" s="1712"/>
      <c r="H29" s="1713">
        <v>4400</v>
      </c>
      <c r="I29" s="1713">
        <v>4611.2</v>
      </c>
      <c r="J29" s="1714"/>
      <c r="K29" s="1714">
        <v>4960</v>
      </c>
      <c r="L29" s="1714"/>
      <c r="M29" s="1714"/>
      <c r="N29" s="1714">
        <v>4936</v>
      </c>
      <c r="O29" s="1714">
        <v>5158.12</v>
      </c>
      <c r="P29" s="1714">
        <f>'ФОТ основных'!F3*'ФОТ основных'!Y4</f>
        <v>5158.12</v>
      </c>
      <c r="Q29" s="1710"/>
      <c r="R29" s="1710"/>
      <c r="S29" s="1710"/>
      <c r="T29" s="1710"/>
      <c r="U29" s="1710"/>
      <c r="V29" s="1715"/>
      <c r="W29" s="1710"/>
      <c r="X29" s="1716"/>
      <c r="Y29" s="1554"/>
      <c r="Z29" s="1554"/>
      <c r="AA29" s="1737"/>
      <c r="AB29" s="1554"/>
      <c r="AC29" s="1554"/>
      <c r="AD29" s="1554"/>
      <c r="AE29" s="1554"/>
    </row>
    <row r="30" spans="1:31" ht="15.75" hidden="1">
      <c r="A30" s="1491" t="s">
        <v>1187</v>
      </c>
      <c r="B30" s="1352" t="s">
        <v>1182</v>
      </c>
      <c r="C30" s="1198"/>
      <c r="D30" s="1198"/>
      <c r="E30" s="1198"/>
      <c r="F30" s="1186"/>
      <c r="G30" s="1201"/>
      <c r="H30" s="1201"/>
      <c r="I30" s="1201"/>
      <c r="J30" s="1201"/>
      <c r="K30" s="1316"/>
      <c r="L30" s="1316"/>
      <c r="M30" s="1316"/>
      <c r="N30" s="1337"/>
      <c r="O30" s="1316"/>
      <c r="P30" s="1328"/>
      <c r="Q30" s="1328"/>
      <c r="R30" s="1328"/>
      <c r="S30" s="1328"/>
      <c r="T30" s="1328"/>
      <c r="U30" s="1328"/>
      <c r="V30" s="1604"/>
      <c r="W30" s="1328"/>
      <c r="X30" s="1328"/>
      <c r="Y30" s="1455"/>
      <c r="Z30" s="1455"/>
      <c r="AA30" s="1731"/>
      <c r="AB30" s="1455"/>
      <c r="AC30" s="1455"/>
      <c r="AD30" s="1455"/>
      <c r="AE30" s="1455"/>
    </row>
    <row r="31" spans="1:31" ht="15.75" hidden="1">
      <c r="A31" s="1493" t="s">
        <v>1190</v>
      </c>
      <c r="B31" s="1352" t="s">
        <v>1189</v>
      </c>
      <c r="C31" s="1198" t="e">
        <v>#DIV/0!</v>
      </c>
      <c r="D31" s="1198" t="e">
        <v>#DIV/0!</v>
      </c>
      <c r="E31" s="1198"/>
      <c r="F31" s="1186"/>
      <c r="G31" s="1201"/>
      <c r="H31" s="1201"/>
      <c r="I31" s="1201"/>
      <c r="J31" s="1201"/>
      <c r="K31" s="1316"/>
      <c r="L31" s="1316"/>
      <c r="M31" s="1316"/>
      <c r="N31" s="1337"/>
      <c r="O31" s="1316"/>
      <c r="P31" s="1328"/>
      <c r="Q31" s="1328"/>
      <c r="R31" s="1328"/>
      <c r="S31" s="1328"/>
      <c r="T31" s="1328"/>
      <c r="U31" s="1328"/>
      <c r="V31" s="1604"/>
      <c r="W31" s="1328"/>
      <c r="X31" s="1328"/>
      <c r="Y31" s="1455"/>
      <c r="Z31" s="1455"/>
      <c r="AA31" s="1731"/>
      <c r="AB31" s="1455"/>
      <c r="AC31" s="1455"/>
      <c r="AD31" s="1455"/>
      <c r="AE31" s="1455"/>
    </row>
    <row r="32" spans="1:31" ht="47.25" hidden="1">
      <c r="A32" s="1494" t="s">
        <v>576</v>
      </c>
      <c r="B32" s="1354" t="s">
        <v>1204</v>
      </c>
      <c r="C32" s="1198"/>
      <c r="D32" s="1198"/>
      <c r="E32" s="1198"/>
      <c r="F32" s="1186"/>
      <c r="G32" s="1201"/>
      <c r="H32" s="1201">
        <f>H37/6</f>
        <v>84.55297916666667</v>
      </c>
      <c r="I32" s="1201">
        <f>I37/6</f>
        <v>88.61152216666666</v>
      </c>
      <c r="J32" s="1201"/>
      <c r="K32" s="1316"/>
      <c r="L32" s="1316"/>
      <c r="M32" s="1316"/>
      <c r="N32" s="1337"/>
      <c r="O32" s="1213">
        <v>5.526511338712908</v>
      </c>
      <c r="P32" s="1329"/>
      <c r="Q32" s="1329"/>
      <c r="R32" s="1329"/>
      <c r="S32" s="1329"/>
      <c r="T32" s="1329"/>
      <c r="U32" s="1329"/>
      <c r="V32" s="1605"/>
      <c r="W32" s="1329"/>
      <c r="X32" s="1329"/>
      <c r="Y32" s="1455"/>
      <c r="Z32" s="1455"/>
      <c r="AA32" s="1731"/>
      <c r="AB32" s="1455"/>
      <c r="AC32" s="1455"/>
      <c r="AD32" s="1455"/>
      <c r="AE32" s="1455"/>
    </row>
    <row r="33" spans="1:31" ht="27.75" customHeight="1">
      <c r="A33" s="1491" t="s">
        <v>1188</v>
      </c>
      <c r="B33" s="1352" t="s">
        <v>1182</v>
      </c>
      <c r="C33" s="1198">
        <v>3682.7</v>
      </c>
      <c r="D33" s="1198">
        <v>5678.002296022523</v>
      </c>
      <c r="E33" s="1198">
        <v>5925.026768592052</v>
      </c>
      <c r="F33" s="1186">
        <v>5594.49</v>
      </c>
      <c r="G33" s="1206">
        <v>5782.64</v>
      </c>
      <c r="H33" s="1212">
        <v>2823.5554687195295</v>
      </c>
      <c r="I33" s="1212">
        <v>2959.0861312180673</v>
      </c>
      <c r="J33" s="1206">
        <v>6153.902766463674</v>
      </c>
      <c r="K33" s="1187">
        <v>6538.442185678795</v>
      </c>
      <c r="L33" s="1206">
        <v>3269.2210928393974</v>
      </c>
      <c r="M33" s="1206">
        <v>3269.2210928393974</v>
      </c>
      <c r="N33" s="1335">
        <f>N37+N40+N45+N47</f>
        <v>4858.6005392782245</v>
      </c>
      <c r="O33" s="1206">
        <v>6812.301553721335</v>
      </c>
      <c r="P33" s="1206">
        <f>P37+P40+P45+P47</f>
        <v>5972.2455049626415</v>
      </c>
      <c r="Q33" s="1185">
        <f>P33/2</f>
        <v>2986.1227524813207</v>
      </c>
      <c r="R33" s="1185">
        <f>P33-Q33</f>
        <v>2986.1227524813207</v>
      </c>
      <c r="S33" s="1185"/>
      <c r="T33" s="1196">
        <f>U33+W33</f>
        <v>6119.759968935219</v>
      </c>
      <c r="U33" s="1196">
        <f>R33</f>
        <v>2986.1227524813207</v>
      </c>
      <c r="V33" s="1598">
        <f>W33/U33</f>
        <v>1.0494</v>
      </c>
      <c r="W33" s="1196">
        <f>U33*$V$19</f>
        <v>3133.6372164538984</v>
      </c>
      <c r="X33" s="1519"/>
      <c r="Y33" s="1455"/>
      <c r="Z33" s="1455"/>
      <c r="AA33" s="1731"/>
      <c r="AB33" s="1455"/>
      <c r="AC33" s="1455"/>
      <c r="AD33" s="1455"/>
      <c r="AE33" s="1455"/>
    </row>
    <row r="34" spans="1:31" ht="15.75">
      <c r="A34" s="1495" t="s">
        <v>1190</v>
      </c>
      <c r="B34" s="1352" t="s">
        <v>1189</v>
      </c>
      <c r="C34" s="1198"/>
      <c r="D34" s="1198"/>
      <c r="E34" s="1198"/>
      <c r="F34" s="1186"/>
      <c r="G34" s="1211"/>
      <c r="H34" s="1212"/>
      <c r="I34" s="1212"/>
      <c r="J34" s="1185">
        <f>J33/12/J35*1000</f>
        <v>18512.073916429876</v>
      </c>
      <c r="K34" s="1349">
        <v>18.6</v>
      </c>
      <c r="L34" s="1316"/>
      <c r="M34" s="1316"/>
      <c r="N34" s="1335">
        <f>N33/9/N35*1000</f>
        <v>18045.190499101314</v>
      </c>
      <c r="O34" s="1185">
        <v>21149.006900645378</v>
      </c>
      <c r="P34" s="1347"/>
      <c r="Q34" s="1185"/>
      <c r="R34" s="1185"/>
      <c r="S34" s="1185"/>
      <c r="T34" s="1185"/>
      <c r="U34" s="1185"/>
      <c r="V34" s="1602"/>
      <c r="W34" s="1185"/>
      <c r="X34" s="1522"/>
      <c r="Y34" s="1455"/>
      <c r="Z34" s="1455"/>
      <c r="AA34" s="1731"/>
      <c r="AB34" s="1455"/>
      <c r="AC34" s="1455"/>
      <c r="AD34" s="1455"/>
      <c r="AE34" s="1455"/>
    </row>
    <row r="35" spans="1:31" ht="13.5" customHeight="1">
      <c r="A35" s="1495" t="s">
        <v>677</v>
      </c>
      <c r="B35" s="1354" t="s">
        <v>1204</v>
      </c>
      <c r="C35" s="1198"/>
      <c r="D35" s="1198"/>
      <c r="E35" s="1198"/>
      <c r="F35" s="1186"/>
      <c r="G35" s="1211">
        <v>23.39</v>
      </c>
      <c r="H35" s="1212"/>
      <c r="I35" s="1212"/>
      <c r="J35" s="1213">
        <f>J39+J41+J46+J48</f>
        <v>27.702203051571423</v>
      </c>
      <c r="K35" s="1338">
        <f>K33/K34/12</f>
        <v>29.29409581397309</v>
      </c>
      <c r="L35" s="1316"/>
      <c r="M35" s="1316"/>
      <c r="N35" s="1341">
        <f>N39+N41+N46+N48</f>
        <v>29.91625410610836</v>
      </c>
      <c r="O35" s="1341">
        <v>26.842480065866408</v>
      </c>
      <c r="P35" s="1341">
        <f>P39+P41+P46+P48</f>
        <v>25.1031890972143</v>
      </c>
      <c r="Q35" s="1341"/>
      <c r="R35" s="1341"/>
      <c r="S35" s="1341"/>
      <c r="T35" s="1213"/>
      <c r="U35" s="1213"/>
      <c r="V35" s="1606"/>
      <c r="W35" s="1213"/>
      <c r="X35" s="1524"/>
      <c r="Y35" s="1455"/>
      <c r="Z35" s="1455"/>
      <c r="AA35" s="1731"/>
      <c r="AB35" s="1455"/>
      <c r="AC35" s="1455"/>
      <c r="AD35" s="1455"/>
      <c r="AE35" s="1455"/>
    </row>
    <row r="36" spans="1:31" ht="15.75" hidden="1">
      <c r="A36" s="1256" t="s">
        <v>219</v>
      </c>
      <c r="B36" s="1352" t="s">
        <v>1182</v>
      </c>
      <c r="C36" s="1198"/>
      <c r="D36" s="1198"/>
      <c r="E36" s="1198"/>
      <c r="F36" s="1186"/>
      <c r="G36" s="1211"/>
      <c r="H36" s="1212"/>
      <c r="I36" s="1212"/>
      <c r="J36" s="1213"/>
      <c r="K36" s="1338"/>
      <c r="L36" s="1316"/>
      <c r="M36" s="1316"/>
      <c r="N36" s="1335">
        <f>N37+N40</f>
        <v>2659.77858</v>
      </c>
      <c r="O36" s="1187">
        <v>3918.0837975143795</v>
      </c>
      <c r="P36" s="1347"/>
      <c r="Q36" s="1187"/>
      <c r="R36" s="1187"/>
      <c r="S36" s="1187"/>
      <c r="T36" s="1187"/>
      <c r="U36" s="1187"/>
      <c r="V36" s="1607"/>
      <c r="W36" s="1187"/>
      <c r="X36" s="1511"/>
      <c r="Y36" s="1455"/>
      <c r="Z36" s="1455"/>
      <c r="AA36" s="1731"/>
      <c r="AB36" s="1455"/>
      <c r="AC36" s="1455"/>
      <c r="AD36" s="1455"/>
      <c r="AE36" s="1455"/>
    </row>
    <row r="37" spans="1:31" ht="21" customHeight="1" hidden="1">
      <c r="A37" s="1496" t="s">
        <v>577</v>
      </c>
      <c r="B37" s="1355">
        <v>1</v>
      </c>
      <c r="C37" s="1198"/>
      <c r="D37" s="1198"/>
      <c r="E37" s="1198"/>
      <c r="F37" s="1186">
        <v>28</v>
      </c>
      <c r="G37" s="1199">
        <v>1038.987008</v>
      </c>
      <c r="H37" s="1199">
        <v>507.317875</v>
      </c>
      <c r="I37" s="1199">
        <v>531.669133</v>
      </c>
      <c r="J37" s="1199"/>
      <c r="K37" s="1348">
        <v>1074.08</v>
      </c>
      <c r="L37" s="1320">
        <v>537.0420119179878</v>
      </c>
      <c r="M37" s="1320">
        <v>537.0420119179878</v>
      </c>
      <c r="N37" s="1373">
        <f>713854.43/1000</f>
        <v>713.8544300000001</v>
      </c>
      <c r="O37" s="1271">
        <v>1193.7860602777876</v>
      </c>
      <c r="P37" s="1370">
        <f>'ФОТ цеховые'!V11*0.001</f>
        <v>1083.6396338849715</v>
      </c>
      <c r="Q37" s="1271"/>
      <c r="R37" s="1271"/>
      <c r="S37" s="1271"/>
      <c r="T37" s="1271"/>
      <c r="U37" s="1271"/>
      <c r="V37" s="1608"/>
      <c r="W37" s="1271"/>
      <c r="X37" s="1525"/>
      <c r="Y37" s="1455"/>
      <c r="Z37" s="1455"/>
      <c r="AA37" s="1731"/>
      <c r="AB37" s="1455"/>
      <c r="AC37" s="1455"/>
      <c r="AD37" s="1455"/>
      <c r="AE37" s="1455"/>
    </row>
    <row r="38" spans="1:31" ht="15.75" hidden="1">
      <c r="A38" s="1496" t="s">
        <v>1190</v>
      </c>
      <c r="B38" s="1352" t="s">
        <v>1189</v>
      </c>
      <c r="C38" s="1198"/>
      <c r="D38" s="1198">
        <v>16898.816357209893</v>
      </c>
      <c r="E38" s="1198"/>
      <c r="F38" s="1186">
        <v>16649.67</v>
      </c>
      <c r="G38" s="1199">
        <v>28.8607502222222</v>
      </c>
      <c r="H38" s="1199"/>
      <c r="I38" s="1199"/>
      <c r="J38" s="1198"/>
      <c r="K38" s="1341">
        <v>23.21</v>
      </c>
      <c r="L38" s="1320"/>
      <c r="M38" s="1320"/>
      <c r="N38" s="1335">
        <f>N37/9/N39*1000</f>
        <v>26439.052962962964</v>
      </c>
      <c r="O38" s="1185"/>
      <c r="P38" s="1347"/>
      <c r="Q38" s="1185"/>
      <c r="R38" s="1185"/>
      <c r="S38" s="1185"/>
      <c r="T38" s="1185"/>
      <c r="U38" s="1185"/>
      <c r="V38" s="1609"/>
      <c r="W38" s="1185"/>
      <c r="X38" s="1522"/>
      <c r="Y38" s="1455"/>
      <c r="Z38" s="1455"/>
      <c r="AA38" s="1731"/>
      <c r="AB38" s="1455"/>
      <c r="AC38" s="1455"/>
      <c r="AD38" s="1455"/>
      <c r="AE38" s="1455"/>
    </row>
    <row r="39" spans="1:31" ht="15.75" hidden="1">
      <c r="A39" s="1497" t="s">
        <v>1204</v>
      </c>
      <c r="B39" s="1354" t="s">
        <v>1204</v>
      </c>
      <c r="C39" s="1198"/>
      <c r="D39" s="1198">
        <v>28</v>
      </c>
      <c r="E39" s="1198"/>
      <c r="F39" s="1186">
        <v>27.46</v>
      </c>
      <c r="G39" s="1199">
        <v>3</v>
      </c>
      <c r="H39" s="1199"/>
      <c r="I39" s="1199"/>
      <c r="J39" s="1199">
        <v>3</v>
      </c>
      <c r="K39" s="1338">
        <v>3</v>
      </c>
      <c r="L39" s="1320"/>
      <c r="M39" s="1320"/>
      <c r="N39" s="1338">
        <v>3</v>
      </c>
      <c r="O39" s="1199">
        <v>3</v>
      </c>
      <c r="P39" s="1338">
        <f>'ФОТ цеховые'!G11</f>
        <v>3</v>
      </c>
      <c r="Q39" s="1199"/>
      <c r="R39" s="1199"/>
      <c r="S39" s="1199"/>
      <c r="T39" s="1199"/>
      <c r="U39" s="1199"/>
      <c r="V39" s="1610"/>
      <c r="W39" s="1199"/>
      <c r="X39" s="1526"/>
      <c r="Y39" s="1455"/>
      <c r="Z39" s="1455"/>
      <c r="AA39" s="1731"/>
      <c r="AB39" s="1455"/>
      <c r="AC39" s="1455"/>
      <c r="AD39" s="1455"/>
      <c r="AE39" s="1455"/>
    </row>
    <row r="40" spans="1:31" ht="19.5" customHeight="1" hidden="1">
      <c r="A40" s="1497" t="s">
        <v>234</v>
      </c>
      <c r="B40" s="1354" t="s">
        <v>1033</v>
      </c>
      <c r="C40" s="1198"/>
      <c r="D40" s="1198"/>
      <c r="E40" s="1198"/>
      <c r="F40" s="1198"/>
      <c r="G40" s="1199">
        <v>2620.6781198518283</v>
      </c>
      <c r="H40" s="1199">
        <v>1279.6279882089007</v>
      </c>
      <c r="I40" s="1199">
        <v>1341.050131642928</v>
      </c>
      <c r="J40" s="1199"/>
      <c r="K40" s="1348">
        <v>2562.4</v>
      </c>
      <c r="L40" s="1320">
        <v>1281.2000678110578</v>
      </c>
      <c r="M40" s="1320">
        <v>1281.2000678110578</v>
      </c>
      <c r="N40" s="1373">
        <f>2659.77858-N37</f>
        <v>1945.92415</v>
      </c>
      <c r="O40" s="1271">
        <v>2724.297737236592</v>
      </c>
      <c r="P40" s="1370">
        <f>'ФОТ цеховые'!V19*0.001</f>
        <v>2259.3791925627743</v>
      </c>
      <c r="Q40" s="1271"/>
      <c r="R40" s="1271"/>
      <c r="S40" s="1271"/>
      <c r="T40" s="1271"/>
      <c r="U40" s="1271"/>
      <c r="V40" s="1611"/>
      <c r="W40" s="1271"/>
      <c r="X40" s="1525"/>
      <c r="Y40" s="1455"/>
      <c r="Z40" s="1455"/>
      <c r="AA40" s="1731"/>
      <c r="AB40" s="1455"/>
      <c r="AC40" s="1455"/>
      <c r="AD40" s="1455"/>
      <c r="AE40" s="1455"/>
    </row>
    <row r="41" spans="1:31" ht="15.75" hidden="1">
      <c r="A41" s="1497" t="s">
        <v>1204</v>
      </c>
      <c r="B41" s="1354" t="s">
        <v>1204</v>
      </c>
      <c r="C41" s="1198"/>
      <c r="D41" s="1198"/>
      <c r="E41" s="1198"/>
      <c r="F41" s="1198"/>
      <c r="G41" s="1199">
        <v>10</v>
      </c>
      <c r="H41" s="1199"/>
      <c r="I41" s="1199"/>
      <c r="J41" s="1199">
        <v>14.25</v>
      </c>
      <c r="K41" s="1341">
        <v>12</v>
      </c>
      <c r="L41" s="1320"/>
      <c r="M41" s="1320"/>
      <c r="N41" s="1338">
        <v>15</v>
      </c>
      <c r="O41" s="1199">
        <v>13.25</v>
      </c>
      <c r="P41" s="1338">
        <f>'ФОТ цеховые'!G19</f>
        <v>11.5</v>
      </c>
      <c r="Q41" s="1199"/>
      <c r="R41" s="1199"/>
      <c r="S41" s="1199"/>
      <c r="T41" s="1199"/>
      <c r="U41" s="1199"/>
      <c r="V41" s="1610"/>
      <c r="W41" s="1199"/>
      <c r="X41" s="1526"/>
      <c r="Y41" s="1455"/>
      <c r="Z41" s="1455"/>
      <c r="AA41" s="1731"/>
      <c r="AB41" s="1455"/>
      <c r="AC41" s="1455"/>
      <c r="AD41" s="1455"/>
      <c r="AE41" s="1455"/>
    </row>
    <row r="42" spans="1:31" ht="15.75" hidden="1">
      <c r="A42" s="1497"/>
      <c r="B42" s="1356"/>
      <c r="C42" s="1198"/>
      <c r="D42" s="1198"/>
      <c r="E42" s="1198"/>
      <c r="F42" s="1198"/>
      <c r="G42" s="1199">
        <v>21.83898433209857</v>
      </c>
      <c r="H42" s="1199"/>
      <c r="I42" s="1199"/>
      <c r="J42" s="1199"/>
      <c r="K42" s="1341"/>
      <c r="L42" s="1320"/>
      <c r="M42" s="1320"/>
      <c r="N42" s="1339"/>
      <c r="O42" s="1185"/>
      <c r="P42" s="1347"/>
      <c r="Q42" s="1185"/>
      <c r="R42" s="1185"/>
      <c r="S42" s="1185"/>
      <c r="T42" s="1185"/>
      <c r="U42" s="1185"/>
      <c r="V42" s="1609"/>
      <c r="W42" s="1185"/>
      <c r="X42" s="1522"/>
      <c r="Y42" s="1455"/>
      <c r="Z42" s="1455"/>
      <c r="AA42" s="1731"/>
      <c r="AB42" s="1455"/>
      <c r="AC42" s="1455"/>
      <c r="AD42" s="1455"/>
      <c r="AE42" s="1455"/>
    </row>
    <row r="43" spans="1:31" ht="15.75" hidden="1">
      <c r="A43" s="1497" t="s">
        <v>1028</v>
      </c>
      <c r="B43" s="1356"/>
      <c r="C43" s="1198"/>
      <c r="D43" s="1198"/>
      <c r="E43" s="1198"/>
      <c r="F43" s="1198"/>
      <c r="G43" s="1199">
        <v>181.03674560014994</v>
      </c>
      <c r="H43" s="1199">
        <v>88.39684843757321</v>
      </c>
      <c r="I43" s="1199">
        <v>92.63989716257673</v>
      </c>
      <c r="J43" s="1199"/>
      <c r="K43" s="1341"/>
      <c r="L43" s="1320"/>
      <c r="M43" s="1320"/>
      <c r="N43" s="1339"/>
      <c r="O43" s="1320"/>
      <c r="P43" s="1340"/>
      <c r="Q43" s="1320"/>
      <c r="R43" s="1320"/>
      <c r="S43" s="1320"/>
      <c r="T43" s="1320"/>
      <c r="U43" s="1320"/>
      <c r="V43" s="1612"/>
      <c r="W43" s="1320"/>
      <c r="X43" s="1527"/>
      <c r="Y43" s="1455"/>
      <c r="Z43" s="1455"/>
      <c r="AA43" s="1731"/>
      <c r="AB43" s="1455"/>
      <c r="AC43" s="1455"/>
      <c r="AD43" s="1455"/>
      <c r="AE43" s="1455"/>
    </row>
    <row r="44" spans="1:31" ht="15.75" hidden="1">
      <c r="A44" s="1497" t="s">
        <v>926</v>
      </c>
      <c r="B44" s="1356"/>
      <c r="C44" s="1198"/>
      <c r="D44" s="1198"/>
      <c r="E44" s="1198"/>
      <c r="F44" s="1198"/>
      <c r="G44" s="1199">
        <v>1.013812029449281</v>
      </c>
      <c r="H44" s="1199"/>
      <c r="I44" s="1199"/>
      <c r="J44" s="1199"/>
      <c r="K44" s="1341"/>
      <c r="L44" s="1320"/>
      <c r="M44" s="1320"/>
      <c r="N44" s="1339"/>
      <c r="O44" s="1316"/>
      <c r="P44" s="1369"/>
      <c r="Q44" s="1316"/>
      <c r="R44" s="1316"/>
      <c r="S44" s="1316"/>
      <c r="T44" s="1316"/>
      <c r="U44" s="1316"/>
      <c r="V44" s="1613"/>
      <c r="W44" s="1316"/>
      <c r="X44" s="1520"/>
      <c r="Y44" s="1455"/>
      <c r="Z44" s="1455"/>
      <c r="AA44" s="1731"/>
      <c r="AB44" s="1455"/>
      <c r="AC44" s="1455"/>
      <c r="AD44" s="1455"/>
      <c r="AE44" s="1455"/>
    </row>
    <row r="45" spans="1:31" ht="21" customHeight="1" hidden="1">
      <c r="A45" s="1498" t="s">
        <v>676</v>
      </c>
      <c r="B45" s="1356">
        <f>'ФОТ основных'!H34</f>
        <v>0.461008221618013</v>
      </c>
      <c r="C45" s="1198"/>
      <c r="D45" s="1198"/>
      <c r="E45" s="1198"/>
      <c r="F45" s="1198"/>
      <c r="G45" s="1199">
        <v>955.5926860915959</v>
      </c>
      <c r="H45" s="1199">
        <v>466.59799125566207</v>
      </c>
      <c r="I45" s="1199">
        <v>488.99469483593384</v>
      </c>
      <c r="J45" s="1199"/>
      <c r="K45" s="1341">
        <v>1377.29</v>
      </c>
      <c r="L45" s="1320">
        <v>688.6435912237789</v>
      </c>
      <c r="M45" s="1320">
        <v>688.6435912237789</v>
      </c>
      <c r="N45" s="1373">
        <v>1100.4426987975698</v>
      </c>
      <c r="O45" s="1271">
        <v>1383.1153826451398</v>
      </c>
      <c r="P45" s="1370">
        <f>B45*'ФОТ цеховые'!V88*0.001</f>
        <v>1254.9134328191296</v>
      </c>
      <c r="Q45" s="1271"/>
      <c r="R45" s="1271"/>
      <c r="S45" s="1271"/>
      <c r="T45" s="1271"/>
      <c r="U45" s="1271"/>
      <c r="V45" s="1611"/>
      <c r="W45" s="1271"/>
      <c r="X45" s="1525"/>
      <c r="Y45" s="1455"/>
      <c r="Z45" s="1455"/>
      <c r="AA45" s="1731"/>
      <c r="AB45" s="1455"/>
      <c r="AC45" s="1455"/>
      <c r="AD45" s="1455"/>
      <c r="AE45" s="1455"/>
    </row>
    <row r="46" spans="1:31" ht="15.75" hidden="1">
      <c r="A46" s="1497" t="s">
        <v>926</v>
      </c>
      <c r="B46" s="1356" t="s">
        <v>1204</v>
      </c>
      <c r="C46" s="1198"/>
      <c r="D46" s="1198"/>
      <c r="E46" s="1198"/>
      <c r="F46" s="1198"/>
      <c r="G46" s="1199">
        <v>4.815607139884085</v>
      </c>
      <c r="H46" s="1199"/>
      <c r="I46" s="1199"/>
      <c r="J46" s="1199">
        <f>'цеховые затраты  (2)'!M121*'цеховые затраты  (2)'!D116</f>
        <v>5.226101525785711</v>
      </c>
      <c r="K46" s="1341">
        <v>4.91</v>
      </c>
      <c r="L46" s="1320"/>
      <c r="M46" s="1320"/>
      <c r="N46" s="1338">
        <v>5.68082341607784</v>
      </c>
      <c r="O46" s="1330">
        <v>5.065968727153499</v>
      </c>
      <c r="P46" s="1340">
        <f>'ФОТ цеховые'!G88*B45</f>
        <v>5.071090437798143</v>
      </c>
      <c r="Q46" s="1330"/>
      <c r="R46" s="1330"/>
      <c r="S46" s="1330"/>
      <c r="T46" s="1330"/>
      <c r="U46" s="1330"/>
      <c r="V46" s="1614"/>
      <c r="W46" s="1330"/>
      <c r="X46" s="1528"/>
      <c r="Y46" s="1455"/>
      <c r="Z46" s="1455"/>
      <c r="AA46" s="1731"/>
      <c r="AB46" s="1455"/>
      <c r="AC46" s="1455"/>
      <c r="AD46" s="1455"/>
      <c r="AE46" s="1455"/>
    </row>
    <row r="47" spans="1:31" ht="31.5" hidden="1">
      <c r="A47" s="1497" t="s">
        <v>1029</v>
      </c>
      <c r="B47" s="1356">
        <f>'ФОТ основных'!H34</f>
        <v>0.461008221618013</v>
      </c>
      <c r="C47" s="1198"/>
      <c r="D47" s="1198"/>
      <c r="E47" s="1198"/>
      <c r="F47" s="1198"/>
      <c r="G47" s="1199">
        <v>986.3470403940225</v>
      </c>
      <c r="H47" s="1199">
        <v>481.6147658173938</v>
      </c>
      <c r="I47" s="1199">
        <v>504.7322745766287</v>
      </c>
      <c r="J47" s="1199"/>
      <c r="K47" s="1341">
        <v>1524.67</v>
      </c>
      <c r="L47" s="1320">
        <v>762.335421886573</v>
      </c>
      <c r="M47" s="1320">
        <v>762.335421886573</v>
      </c>
      <c r="N47" s="1373">
        <v>1098.3792604806545</v>
      </c>
      <c r="O47" s="1271">
        <v>1511.1023735618146</v>
      </c>
      <c r="P47" s="1370">
        <f>B47*'ФОТ цеховые'!V94*0.001</f>
        <v>1374.3132456957667</v>
      </c>
      <c r="Q47" s="1271"/>
      <c r="R47" s="1271"/>
      <c r="S47" s="1271"/>
      <c r="T47" s="1271"/>
      <c r="U47" s="1271"/>
      <c r="V47" s="1611"/>
      <c r="W47" s="1271"/>
      <c r="X47" s="1525"/>
      <c r="Y47" s="1455"/>
      <c r="Z47" s="1455"/>
      <c r="AA47" s="1731"/>
      <c r="AB47" s="1455"/>
      <c r="AC47" s="1455"/>
      <c r="AD47" s="1455"/>
      <c r="AE47" s="1455"/>
    </row>
    <row r="48" spans="1:31" ht="15.75" hidden="1">
      <c r="A48" s="1497" t="s">
        <v>926</v>
      </c>
      <c r="B48" s="1356" t="s">
        <v>1204</v>
      </c>
      <c r="C48" s="1198"/>
      <c r="D48" s="1198"/>
      <c r="E48" s="1198"/>
      <c r="F48" s="1198"/>
      <c r="G48" s="1199">
        <v>4.562154132521764</v>
      </c>
      <c r="H48" s="1199"/>
      <c r="I48" s="1199"/>
      <c r="J48" s="1199">
        <v>5.226101525785711</v>
      </c>
      <c r="K48" s="1341">
        <v>5.28</v>
      </c>
      <c r="L48" s="1204"/>
      <c r="M48" s="1204"/>
      <c r="N48" s="1338">
        <v>6.235430690030522</v>
      </c>
      <c r="O48" s="1330">
        <v>5.526511338712908</v>
      </c>
      <c r="P48" s="1340">
        <f>B47*'ФОТ цеховые'!G94</f>
        <v>5.532098659416157</v>
      </c>
      <c r="Q48" s="1330"/>
      <c r="R48" s="1330"/>
      <c r="S48" s="1330"/>
      <c r="T48" s="1330"/>
      <c r="U48" s="1330"/>
      <c r="V48" s="1614"/>
      <c r="W48" s="1330"/>
      <c r="X48" s="1528"/>
      <c r="Y48" s="1455"/>
      <c r="Z48" s="1455"/>
      <c r="AA48" s="1731"/>
      <c r="AB48" s="1455"/>
      <c r="AC48" s="1455"/>
      <c r="AD48" s="1455"/>
      <c r="AE48" s="1455"/>
    </row>
    <row r="49" spans="1:31" ht="27" customHeight="1">
      <c r="A49" s="1491" t="s">
        <v>1036</v>
      </c>
      <c r="B49" s="1371">
        <f>'ФОТ основных'!I34</f>
        <v>0.4467800670970739</v>
      </c>
      <c r="C49" s="1198">
        <v>1878.6</v>
      </c>
      <c r="D49" s="1198">
        <v>1981.5017253126182</v>
      </c>
      <c r="E49" s="1198">
        <v>1828.5436711948446</v>
      </c>
      <c r="F49" s="1186">
        <v>2356.81</v>
      </c>
      <c r="G49" s="1206">
        <v>1965.720855943848</v>
      </c>
      <c r="H49" s="1201">
        <v>661.9319486914986</v>
      </c>
      <c r="I49" s="1201">
        <v>693.7046822286906</v>
      </c>
      <c r="J49" s="1206">
        <v>2868.180181753272</v>
      </c>
      <c r="K49" s="1206">
        <v>1272.151214712275</v>
      </c>
      <c r="L49" s="1206">
        <v>636.0756073561375</v>
      </c>
      <c r="M49" s="1206">
        <v>636.0756073561375</v>
      </c>
      <c r="N49" s="1334">
        <f>N52+N54+N56</f>
        <v>2220.281514265533</v>
      </c>
      <c r="O49" s="1206">
        <v>3232.9565799463453</v>
      </c>
      <c r="P49" s="1206">
        <f>P52+P54</f>
        <v>2027.4692027875562</v>
      </c>
      <c r="Q49" s="1185">
        <f>P49/2</f>
        <v>1013.7346013937781</v>
      </c>
      <c r="R49" s="1185">
        <f>P49-Q49</f>
        <v>1013.7346013937781</v>
      </c>
      <c r="S49" s="1185"/>
      <c r="T49" s="1196">
        <f>U49+W49</f>
        <v>2077.5476920964093</v>
      </c>
      <c r="U49" s="1196">
        <f>R49</f>
        <v>1013.7346013937781</v>
      </c>
      <c r="V49" s="1598">
        <f>W49/U49</f>
        <v>1.0494</v>
      </c>
      <c r="W49" s="1196">
        <f>U49*$V$19</f>
        <v>1063.813090702631</v>
      </c>
      <c r="X49" s="1519"/>
      <c r="Y49" s="1455"/>
      <c r="Z49" s="1455"/>
      <c r="AA49" s="1731"/>
      <c r="AB49" s="1455"/>
      <c r="AC49" s="1455"/>
      <c r="AD49" s="1455"/>
      <c r="AE49" s="1455"/>
    </row>
    <row r="50" spans="1:31" s="58" customFormat="1" ht="31.5">
      <c r="A50" s="1499" t="s">
        <v>682</v>
      </c>
      <c r="B50" s="1358" t="s">
        <v>1204</v>
      </c>
      <c r="C50" s="1210"/>
      <c r="D50" s="1210"/>
      <c r="E50" s="1210"/>
      <c r="F50" s="1186"/>
      <c r="G50" s="1213">
        <v>8.37565085152083</v>
      </c>
      <c r="H50" s="1199">
        <v>661.9319486914986</v>
      </c>
      <c r="I50" s="1199">
        <v>693.7046822286906</v>
      </c>
      <c r="J50" s="1341">
        <f>J53+J55</f>
        <v>10.010811555523805</v>
      </c>
      <c r="K50" s="1341">
        <f>K52+K55</f>
        <v>4.583570932342501</v>
      </c>
      <c r="L50" s="1340">
        <v>564.3448554326725</v>
      </c>
      <c r="M50" s="1340">
        <v>564.3448554326725</v>
      </c>
      <c r="N50" s="1341">
        <v>9.5</v>
      </c>
      <c r="O50" s="1341">
        <v>9.041792528501626</v>
      </c>
      <c r="P50" s="1341">
        <f>P53+P55</f>
        <v>7.118514364671782</v>
      </c>
      <c r="Q50" s="1213"/>
      <c r="R50" s="1213"/>
      <c r="S50" s="1213"/>
      <c r="T50" s="1213"/>
      <c r="U50" s="1213"/>
      <c r="V50" s="1615"/>
      <c r="W50" s="1213"/>
      <c r="X50" s="1524"/>
      <c r="Y50" s="1539"/>
      <c r="Z50" s="1539"/>
      <c r="AA50" s="1757"/>
      <c r="AB50" s="1539"/>
      <c r="AC50" s="1539"/>
      <c r="AD50" s="1539"/>
      <c r="AE50" s="1539"/>
    </row>
    <row r="51" spans="1:31" s="58" customFormat="1" ht="15.75">
      <c r="A51" s="1497" t="s">
        <v>578</v>
      </c>
      <c r="B51" s="1359"/>
      <c r="C51" s="1210"/>
      <c r="D51" s="1210"/>
      <c r="E51" s="1210"/>
      <c r="F51" s="1186"/>
      <c r="G51" s="1214">
        <f>G49/G50/12*1000</f>
        <v>19557.891587482995</v>
      </c>
      <c r="H51" s="1199"/>
      <c r="I51" s="1199"/>
      <c r="J51" s="1341">
        <f>J49/J50/12*1000</f>
        <v>23875.688181765978</v>
      </c>
      <c r="K51" s="1341">
        <f>31.0623160469731*1000</f>
        <v>31062.316046973097</v>
      </c>
      <c r="L51" s="1340"/>
      <c r="M51" s="1340"/>
      <c r="N51" s="1341">
        <f>N49/9/N50*1000</f>
        <v>25968.204845210912</v>
      </c>
      <c r="O51" s="1341">
        <v>29796.420066000817</v>
      </c>
      <c r="P51" s="1374">
        <f>P49/P50/12</f>
        <v>23.734694943859</v>
      </c>
      <c r="Q51" s="1213"/>
      <c r="R51" s="1213"/>
      <c r="S51" s="1213"/>
      <c r="T51" s="1213"/>
      <c r="U51" s="1213"/>
      <c r="V51" s="1615"/>
      <c r="W51" s="1213"/>
      <c r="X51" s="1524"/>
      <c r="Y51" s="1539"/>
      <c r="Z51" s="1539"/>
      <c r="AA51" s="1757"/>
      <c r="AB51" s="1539"/>
      <c r="AC51" s="1539"/>
      <c r="AD51" s="1539"/>
      <c r="AE51" s="1539"/>
    </row>
    <row r="52" spans="1:31" s="58" customFormat="1" ht="31.5">
      <c r="A52" s="1500" t="s">
        <v>684</v>
      </c>
      <c r="B52" s="1352" t="s">
        <v>1182</v>
      </c>
      <c r="C52" s="1210"/>
      <c r="D52" s="1210">
        <v>8</v>
      </c>
      <c r="E52" s="1210"/>
      <c r="F52" s="1186">
        <v>9.26</v>
      </c>
      <c r="G52" s="1211"/>
      <c r="H52" s="1199"/>
      <c r="I52" s="1199"/>
      <c r="J52" s="1341">
        <f>J49-J54</f>
        <v>2171.14448518451</v>
      </c>
      <c r="K52" s="1341">
        <v>3.0280252046630944</v>
      </c>
      <c r="L52" s="1340"/>
      <c r="M52" s="1340"/>
      <c r="N52" s="1341">
        <f>2330.54628*ОХР!H47</f>
        <v>1103.2851566397585</v>
      </c>
      <c r="O52" s="1341">
        <v>2293.1533848834392</v>
      </c>
      <c r="P52" s="1341">
        <f>('ФОТ АУП'!N17+'ФОТ АУП'!P25+'ФОТ АУП'!P33)*'водоснабжение '!B49*0.001</f>
        <v>1474.5596794666442</v>
      </c>
      <c r="Q52" s="1213"/>
      <c r="R52" s="1213"/>
      <c r="S52" s="1213"/>
      <c r="T52" s="1213"/>
      <c r="U52" s="1213"/>
      <c r="V52" s="1615"/>
      <c r="W52" s="1213"/>
      <c r="X52" s="1524"/>
      <c r="Y52" s="1539"/>
      <c r="Z52" s="1539"/>
      <c r="AA52" s="1757"/>
      <c r="AB52" s="1539"/>
      <c r="AC52" s="1539"/>
      <c r="AD52" s="1539"/>
      <c r="AE52" s="1539"/>
    </row>
    <row r="53" spans="1:31" s="58" customFormat="1" ht="31.5">
      <c r="A53" s="1256" t="s">
        <v>680</v>
      </c>
      <c r="B53" s="1358" t="s">
        <v>1204</v>
      </c>
      <c r="C53" s="1210"/>
      <c r="D53" s="1210"/>
      <c r="E53" s="1210"/>
      <c r="F53" s="1186"/>
      <c r="G53" s="1200"/>
      <c r="H53" s="1199"/>
      <c r="I53" s="1199"/>
      <c r="J53" s="1341">
        <f>'цеховые затраты  (2)'!M124*ОХР!E47</f>
        <v>8.556627214925054</v>
      </c>
      <c r="K53" s="1341"/>
      <c r="L53" s="1340"/>
      <c r="M53" s="1340"/>
      <c r="N53" s="1341"/>
      <c r="O53" s="1341">
        <v>7.5213185609059785</v>
      </c>
      <c r="P53" s="1341">
        <f>B49*('ФОТ АУП'!F17+'ФОТ АУП'!F25+'ФОТ АУП'!F33)</f>
        <v>5.696445855487692</v>
      </c>
      <c r="Q53" s="1200"/>
      <c r="R53" s="1200"/>
      <c r="S53" s="1200"/>
      <c r="T53" s="1200"/>
      <c r="U53" s="1200"/>
      <c r="V53" s="1616"/>
      <c r="W53" s="1200"/>
      <c r="X53" s="1529"/>
      <c r="Y53" s="1539"/>
      <c r="Z53" s="1539"/>
      <c r="AA53" s="1757"/>
      <c r="AB53" s="1539"/>
      <c r="AC53" s="1539"/>
      <c r="AD53" s="1539"/>
      <c r="AE53" s="1539"/>
    </row>
    <row r="54" spans="1:31" s="58" customFormat="1" ht="15.75">
      <c r="A54" s="1500" t="s">
        <v>1036</v>
      </c>
      <c r="B54" s="1360">
        <f>B49*'Кострома план '!F30</f>
        <v>0.11850570909867413</v>
      </c>
      <c r="C54" s="1210"/>
      <c r="D54" s="1210"/>
      <c r="E54" s="1210"/>
      <c r="F54" s="1210"/>
      <c r="G54" s="1211"/>
      <c r="H54" s="1199"/>
      <c r="I54" s="1199"/>
      <c r="J54" s="1341">
        <v>697.0356965687622</v>
      </c>
      <c r="K54" s="1341">
        <v>143.46150384693019</v>
      </c>
      <c r="L54" s="1370">
        <v>71.73075192346509</v>
      </c>
      <c r="M54" s="1370">
        <v>71.73075192346509</v>
      </c>
      <c r="N54" s="1341">
        <f>1236.34348731118*ОХР!H47</f>
        <v>585.2874194193906</v>
      </c>
      <c r="O54" s="1341">
        <v>752.1101774840268</v>
      </c>
      <c r="P54" s="1341">
        <f>('Кострома план '!M16+'Кострома план '!M24)*0.001*'водоснабжение '!B54</f>
        <v>552.9095233209121</v>
      </c>
      <c r="Q54" s="1213"/>
      <c r="R54" s="1213"/>
      <c r="S54" s="1213"/>
      <c r="T54" s="1213"/>
      <c r="U54" s="1213"/>
      <c r="V54" s="1615"/>
      <c r="W54" s="1213"/>
      <c r="X54" s="1524"/>
      <c r="Y54" s="1539"/>
      <c r="Z54" s="1539"/>
      <c r="AA54" s="1757"/>
      <c r="AB54" s="1539"/>
      <c r="AC54" s="1539"/>
      <c r="AD54" s="1539"/>
      <c r="AE54" s="1539"/>
    </row>
    <row r="55" spans="1:31" s="58" customFormat="1" ht="15.75">
      <c r="A55" s="1256" t="s">
        <v>926</v>
      </c>
      <c r="B55" s="1358" t="s">
        <v>1204</v>
      </c>
      <c r="C55" s="1210"/>
      <c r="D55" s="1210"/>
      <c r="E55" s="1210"/>
      <c r="F55" s="1210"/>
      <c r="G55" s="1200"/>
      <c r="H55" s="1199"/>
      <c r="I55" s="1199"/>
      <c r="J55" s="1341">
        <f>ОХР!Q49*ОХР!E47</f>
        <v>1.4541843405987516</v>
      </c>
      <c r="K55" s="1341">
        <v>1.5555457276794067</v>
      </c>
      <c r="L55" s="1340"/>
      <c r="M55" s="1340"/>
      <c r="N55" s="1341"/>
      <c r="O55" s="1341">
        <v>1.5204739675956467</v>
      </c>
      <c r="P55" s="1341">
        <f>B54*('Кострома план '!C16+'Кострома план '!C24)</f>
        <v>1.4220685091840894</v>
      </c>
      <c r="Q55" s="1200"/>
      <c r="R55" s="1200"/>
      <c r="S55" s="1376"/>
      <c r="T55" s="1376"/>
      <c r="U55" s="1376"/>
      <c r="V55" s="1617"/>
      <c r="W55" s="1376"/>
      <c r="X55" s="1529"/>
      <c r="Y55" s="1539"/>
      <c r="Z55" s="1539"/>
      <c r="AA55" s="1757"/>
      <c r="AB55" s="1539"/>
      <c r="AC55" s="1539"/>
      <c r="AD55" s="1539"/>
      <c r="AE55" s="1539"/>
    </row>
    <row r="56" spans="1:31" ht="15.75">
      <c r="A56" s="1491" t="s">
        <v>631</v>
      </c>
      <c r="B56" s="1357"/>
      <c r="C56" s="1198"/>
      <c r="D56" s="1198"/>
      <c r="E56" s="1198"/>
      <c r="F56" s="1186"/>
      <c r="G56" s="1206">
        <v>610.0842250236587</v>
      </c>
      <c r="H56" s="1201">
        <v>297.8926879998334</v>
      </c>
      <c r="I56" s="1201">
        <v>312.1915370238254</v>
      </c>
      <c r="J56" s="1206"/>
      <c r="K56" s="1206">
        <v>727.728835584948</v>
      </c>
      <c r="L56" s="1206">
        <v>363.864417792474</v>
      </c>
      <c r="M56" s="1206">
        <v>363.864417792474</v>
      </c>
      <c r="N56" s="1341">
        <f>1123.16592*ОХР!H47</f>
        <v>531.7089382063841</v>
      </c>
      <c r="O56" s="1206"/>
      <c r="P56" s="1206"/>
      <c r="Q56" s="1206"/>
      <c r="R56" s="1206"/>
      <c r="S56" s="1377"/>
      <c r="T56" s="1377"/>
      <c r="U56" s="1377"/>
      <c r="V56" s="1618"/>
      <c r="W56" s="1377"/>
      <c r="X56" s="1519"/>
      <c r="Y56" s="1455"/>
      <c r="Z56" s="1455"/>
      <c r="AA56" s="1731"/>
      <c r="AB56" s="1455"/>
      <c r="AC56" s="1455"/>
      <c r="AD56" s="1455"/>
      <c r="AE56" s="1455"/>
    </row>
    <row r="57" spans="1:31" s="56" customFormat="1" ht="15.75" hidden="1">
      <c r="A57" s="1497" t="s">
        <v>1018</v>
      </c>
      <c r="B57" s="1361"/>
      <c r="C57" s="1199"/>
      <c r="D57" s="1199"/>
      <c r="E57" s="1199"/>
      <c r="F57" s="1199"/>
      <c r="G57" s="1188">
        <v>109.44693303322586</v>
      </c>
      <c r="H57" s="1215">
        <v>53.44088527012982</v>
      </c>
      <c r="I57" s="1215">
        <v>56.00604776309605</v>
      </c>
      <c r="J57" s="1215"/>
      <c r="K57" s="1185">
        <v>68.38376676888157</v>
      </c>
      <c r="L57" s="1320">
        <v>34.191883384440786</v>
      </c>
      <c r="M57" s="1320">
        <v>34.191883384440786</v>
      </c>
      <c r="N57" s="1339"/>
      <c r="O57" s="1320"/>
      <c r="P57" s="1320"/>
      <c r="Q57" s="1320"/>
      <c r="R57" s="1320"/>
      <c r="S57" s="1325"/>
      <c r="T57" s="1325"/>
      <c r="U57" s="1325"/>
      <c r="V57" s="1619"/>
      <c r="W57" s="1325"/>
      <c r="X57" s="1325"/>
      <c r="Y57" s="1397"/>
      <c r="Z57" s="1397"/>
      <c r="AA57" s="1758"/>
      <c r="AB57" s="1397"/>
      <c r="AC57" s="1397"/>
      <c r="AD57" s="1397"/>
      <c r="AE57" s="1397"/>
    </row>
    <row r="58" spans="1:31" s="56" customFormat="1" ht="15.75" hidden="1">
      <c r="A58" s="1496" t="s">
        <v>926</v>
      </c>
      <c r="B58" s="1362" t="s">
        <v>1204</v>
      </c>
      <c r="C58" s="1199"/>
      <c r="D58" s="1199"/>
      <c r="E58" s="1199"/>
      <c r="F58" s="1199"/>
      <c r="G58" s="1188">
        <v>0.7179129301303567</v>
      </c>
      <c r="H58" s="1215"/>
      <c r="I58" s="1215"/>
      <c r="J58" s="1215"/>
      <c r="K58" s="1185">
        <v>0.32443127192818866</v>
      </c>
      <c r="L58" s="1320"/>
      <c r="M58" s="1320"/>
      <c r="N58" s="1339"/>
      <c r="O58" s="1320"/>
      <c r="P58" s="1320"/>
      <c r="Q58" s="1320"/>
      <c r="R58" s="1320"/>
      <c r="S58" s="1325"/>
      <c r="T58" s="1325"/>
      <c r="U58" s="1325"/>
      <c r="V58" s="1619"/>
      <c r="W58" s="1325"/>
      <c r="X58" s="1325"/>
      <c r="Y58" s="1397"/>
      <c r="Z58" s="1397"/>
      <c r="AA58" s="1758"/>
      <c r="AB58" s="1397"/>
      <c r="AC58" s="1397"/>
      <c r="AD58" s="1397"/>
      <c r="AE58" s="1397"/>
    </row>
    <row r="59" spans="1:31" s="56" customFormat="1" ht="15.75" hidden="1">
      <c r="A59" s="1496" t="s">
        <v>1022</v>
      </c>
      <c r="B59" s="1362"/>
      <c r="C59" s="1199"/>
      <c r="D59" s="1199"/>
      <c r="E59" s="1199"/>
      <c r="F59" s="1199"/>
      <c r="G59" s="1188">
        <v>500.6372919904329</v>
      </c>
      <c r="H59" s="1215">
        <v>244.4518027297036</v>
      </c>
      <c r="I59" s="1215">
        <v>256.18548926072936</v>
      </c>
      <c r="J59" s="1215"/>
      <c r="K59" s="1185">
        <v>659.3450688160665</v>
      </c>
      <c r="L59" s="1320">
        <v>329.67253440803324</v>
      </c>
      <c r="M59" s="1320">
        <v>329.67253440803324</v>
      </c>
      <c r="N59" s="1339"/>
      <c r="O59" s="1320"/>
      <c r="P59" s="1320"/>
      <c r="Q59" s="1320"/>
      <c r="R59" s="1320"/>
      <c r="S59" s="1325"/>
      <c r="T59" s="1325"/>
      <c r="U59" s="1325"/>
      <c r="V59" s="1619"/>
      <c r="W59" s="1325"/>
      <c r="X59" s="1325"/>
      <c r="Y59" s="1397"/>
      <c r="Z59" s="1397"/>
      <c r="AA59" s="1758"/>
      <c r="AB59" s="1397"/>
      <c r="AC59" s="1397"/>
      <c r="AD59" s="1397"/>
      <c r="AE59" s="1397"/>
    </row>
    <row r="60" spans="1:31" s="56" customFormat="1" ht="15.75" hidden="1">
      <c r="A60" s="1496" t="s">
        <v>926</v>
      </c>
      <c r="B60" s="1362" t="s">
        <v>1204</v>
      </c>
      <c r="C60" s="1199"/>
      <c r="D60" s="1199"/>
      <c r="E60" s="1199"/>
      <c r="F60" s="1199"/>
      <c r="G60" s="1188">
        <v>2.871651720521427</v>
      </c>
      <c r="H60" s="1215"/>
      <c r="I60" s="1215"/>
      <c r="J60" s="1215"/>
      <c r="K60" s="1185">
        <v>3.0280252046630944</v>
      </c>
      <c r="L60" s="1330"/>
      <c r="M60" s="1330"/>
      <c r="N60" s="1340"/>
      <c r="O60" s="1330"/>
      <c r="P60" s="1330"/>
      <c r="Q60" s="1330"/>
      <c r="R60" s="1330"/>
      <c r="S60" s="1331"/>
      <c r="T60" s="1331"/>
      <c r="U60" s="1331"/>
      <c r="V60" s="1620"/>
      <c r="W60" s="1331"/>
      <c r="X60" s="1331"/>
      <c r="Y60" s="1397"/>
      <c r="Z60" s="1397"/>
      <c r="AA60" s="1758"/>
      <c r="AB60" s="1397"/>
      <c r="AC60" s="1397"/>
      <c r="AD60" s="1397"/>
      <c r="AE60" s="1397"/>
    </row>
    <row r="61" spans="1:31" s="56" customFormat="1" ht="15.75" hidden="1">
      <c r="A61" s="1496"/>
      <c r="B61" s="1362"/>
      <c r="C61" s="1199"/>
      <c r="D61" s="1199"/>
      <c r="E61" s="1199"/>
      <c r="F61" s="1199"/>
      <c r="G61" s="1188"/>
      <c r="H61" s="1215"/>
      <c r="I61" s="1215"/>
      <c r="J61" s="1215"/>
      <c r="K61" s="1330"/>
      <c r="L61" s="1330"/>
      <c r="M61" s="1330"/>
      <c r="N61" s="1340"/>
      <c r="O61" s="1330"/>
      <c r="P61" s="1330"/>
      <c r="Q61" s="1330"/>
      <c r="R61" s="1330"/>
      <c r="S61" s="1331"/>
      <c r="T61" s="1331"/>
      <c r="U61" s="1331"/>
      <c r="V61" s="1620"/>
      <c r="W61" s="1331"/>
      <c r="X61" s="1331"/>
      <c r="Y61" s="1397"/>
      <c r="Z61" s="1397"/>
      <c r="AA61" s="1758"/>
      <c r="AB61" s="1397"/>
      <c r="AC61" s="1397"/>
      <c r="AD61" s="1397"/>
      <c r="AE61" s="1397"/>
    </row>
    <row r="62" spans="1:31" s="56" customFormat="1" ht="15.75">
      <c r="A62" s="1491" t="s">
        <v>1329</v>
      </c>
      <c r="B62" s="1362"/>
      <c r="C62" s="1199"/>
      <c r="D62" s="1199"/>
      <c r="E62" s="1199"/>
      <c r="F62" s="1199"/>
      <c r="G62" s="1188"/>
      <c r="H62" s="1215"/>
      <c r="I62" s="1215"/>
      <c r="J62" s="1215"/>
      <c r="K62" s="1330"/>
      <c r="L62" s="1330"/>
      <c r="M62" s="1330"/>
      <c r="N62" s="1340"/>
      <c r="O62" s="1375">
        <f>O63+O64+O65</f>
        <v>4146.761922913578</v>
      </c>
      <c r="P62" s="1379">
        <f>0.302*(P26+P33+P49)</f>
        <v>3425.941903393846</v>
      </c>
      <c r="Q62" s="1379">
        <f>0.302*(Q26+Q33+Q49)</f>
        <v>1712.970951696923</v>
      </c>
      <c r="R62" s="1379">
        <f>0.302*(R26+R33+R49)</f>
        <v>1712.970951696923</v>
      </c>
      <c r="S62" s="1379"/>
      <c r="T62" s="1196">
        <f>U62+W62</f>
        <v>3510.562668407674</v>
      </c>
      <c r="U62" s="1196">
        <f>R62</f>
        <v>1712.970951696923</v>
      </c>
      <c r="V62" s="1598">
        <f>W62/U62</f>
        <v>1.0494</v>
      </c>
      <c r="W62" s="1196">
        <f>U62*$V$19</f>
        <v>1797.5917167107511</v>
      </c>
      <c r="X62" s="1331"/>
      <c r="Y62" s="1397"/>
      <c r="Z62" s="1397"/>
      <c r="AA62" s="1758"/>
      <c r="AB62" s="1397"/>
      <c r="AC62" s="1397"/>
      <c r="AD62" s="1397"/>
      <c r="AE62" s="1397"/>
    </row>
    <row r="63" spans="1:31" ht="15.75" hidden="1">
      <c r="A63" s="1501" t="s">
        <v>1330</v>
      </c>
      <c r="B63" s="1352">
        <v>30.2</v>
      </c>
      <c r="C63" s="1198">
        <v>1054</v>
      </c>
      <c r="D63" s="1198">
        <v>818.34</v>
      </c>
      <c r="E63" s="1198">
        <v>868.3104</v>
      </c>
      <c r="F63" s="1186">
        <f>0.302*F26</f>
        <v>1023.03104</v>
      </c>
      <c r="G63" s="1187">
        <v>853.711372266296</v>
      </c>
      <c r="H63" s="1201">
        <v>416.8512559894024</v>
      </c>
      <c r="I63" s="1201">
        <v>436.8601162768937</v>
      </c>
      <c r="J63" s="1341">
        <v>969.9559300000001</v>
      </c>
      <c r="K63" s="1341">
        <v>1035.995153962623</v>
      </c>
      <c r="L63" s="1341">
        <v>517.9975769813115</v>
      </c>
      <c r="M63" s="1341">
        <v>517.9975769813115</v>
      </c>
      <c r="N63" s="1341">
        <v>769.7427499999999</v>
      </c>
      <c r="O63" s="1341">
        <v>1113.0939665459382</v>
      </c>
      <c r="P63" s="1187"/>
      <c r="Q63" s="1187"/>
      <c r="R63" s="1187"/>
      <c r="S63" s="1378"/>
      <c r="T63" s="1378"/>
      <c r="U63" s="1378"/>
      <c r="V63" s="1621"/>
      <c r="W63" s="1378"/>
      <c r="X63" s="1511"/>
      <c r="Y63" s="1455"/>
      <c r="Z63" s="1455"/>
      <c r="AA63" s="1731"/>
      <c r="AB63" s="1455"/>
      <c r="AC63" s="1455"/>
      <c r="AD63" s="1455"/>
      <c r="AE63" s="1455"/>
    </row>
    <row r="64" spans="1:31" ht="15.75" hidden="1">
      <c r="A64" s="1501" t="s">
        <v>1331</v>
      </c>
      <c r="B64" s="1352">
        <v>30.2</v>
      </c>
      <c r="C64" s="1198">
        <v>1259.5</v>
      </c>
      <c r="D64" s="1198">
        <v>1615</v>
      </c>
      <c r="E64" s="1198">
        <v>1789.3006015453789</v>
      </c>
      <c r="F64" s="1186">
        <f>0.302*F33</f>
        <v>1689.5359799999999</v>
      </c>
      <c r="G64" s="1187">
        <v>1746.3577631811543</v>
      </c>
      <c r="H64" s="1198">
        <v>1197.6546239708234</v>
      </c>
      <c r="I64" s="1198">
        <v>1197.6546239708234</v>
      </c>
      <c r="J64" s="1341">
        <v>1760.0598653456063</v>
      </c>
      <c r="K64" s="1341">
        <v>1974.609540074996</v>
      </c>
      <c r="L64" s="1341">
        <v>987.304770037498</v>
      </c>
      <c r="M64" s="1341">
        <v>987.304770037498</v>
      </c>
      <c r="N64" s="1341">
        <v>1447.219797174414</v>
      </c>
      <c r="O64" s="1341">
        <v>2057.3150692238432</v>
      </c>
      <c r="P64" s="1187"/>
      <c r="Q64" s="1187"/>
      <c r="R64" s="1187"/>
      <c r="S64" s="1378"/>
      <c r="T64" s="1378"/>
      <c r="U64" s="1378"/>
      <c r="V64" s="1621"/>
      <c r="W64" s="1378"/>
      <c r="X64" s="1511"/>
      <c r="Y64" s="1455"/>
      <c r="Z64" s="1455"/>
      <c r="AA64" s="1731"/>
      <c r="AB64" s="1455"/>
      <c r="AC64" s="1455"/>
      <c r="AD64" s="1455"/>
      <c r="AE64" s="1455"/>
    </row>
    <row r="65" spans="1:31" ht="15.75" hidden="1">
      <c r="A65" s="1501" t="s">
        <v>1332</v>
      </c>
      <c r="B65" s="1352">
        <v>30.2</v>
      </c>
      <c r="C65" s="1198">
        <v>642.5</v>
      </c>
      <c r="D65" s="1198">
        <v>550.8</v>
      </c>
      <c r="E65" s="1198">
        <v>552.2201887008431</v>
      </c>
      <c r="F65" s="1186">
        <f>0.302*F49</f>
        <v>711.75662</v>
      </c>
      <c r="G65" s="1187">
        <v>593.647698495042</v>
      </c>
      <c r="H65" s="1201">
        <v>199.90344850483257</v>
      </c>
      <c r="I65" s="1201">
        <v>209.49881403306455</v>
      </c>
      <c r="J65" s="1341">
        <v>788.8366597516234</v>
      </c>
      <c r="K65" s="1341">
        <v>384.18966684310703</v>
      </c>
      <c r="L65" s="1341">
        <v>192.09483342155352</v>
      </c>
      <c r="M65" s="1341">
        <v>192.09483342155352</v>
      </c>
      <c r="N65" s="1341">
        <v>660.5502421940537</v>
      </c>
      <c r="O65" s="1341">
        <v>976.3528871437962</v>
      </c>
      <c r="P65" s="1187"/>
      <c r="Q65" s="1187"/>
      <c r="R65" s="1187"/>
      <c r="S65" s="1187"/>
      <c r="T65" s="1187"/>
      <c r="U65" s="1187"/>
      <c r="V65" s="1622"/>
      <c r="W65" s="1187"/>
      <c r="X65" s="1511"/>
      <c r="Y65" s="1455"/>
      <c r="Z65" s="1455"/>
      <c r="AA65" s="1731"/>
      <c r="AB65" s="1455"/>
      <c r="AC65" s="1455"/>
      <c r="AD65" s="1455"/>
      <c r="AE65" s="1455"/>
    </row>
    <row r="66" spans="1:31" ht="47.25" hidden="1">
      <c r="A66" s="1491" t="s">
        <v>630</v>
      </c>
      <c r="B66" s="1352" t="s">
        <v>1182</v>
      </c>
      <c r="C66" s="1198"/>
      <c r="D66" s="1198"/>
      <c r="E66" s="1198"/>
      <c r="F66" s="1186"/>
      <c r="G66" s="1187">
        <v>184.24543595714496</v>
      </c>
      <c r="H66" s="1201">
        <v>89.9635917759497</v>
      </c>
      <c r="I66" s="1201">
        <v>94.28184418119527</v>
      </c>
      <c r="J66" s="1187"/>
      <c r="K66" s="1201">
        <v>219.7741083466543</v>
      </c>
      <c r="L66" s="1206">
        <v>109.88705417332714</v>
      </c>
      <c r="M66" s="1206">
        <v>109.88705417332714</v>
      </c>
      <c r="N66" s="1335"/>
      <c r="O66" s="1187"/>
      <c r="P66" s="1187"/>
      <c r="Q66" s="1187"/>
      <c r="R66" s="1187"/>
      <c r="S66" s="1187"/>
      <c r="T66" s="1187"/>
      <c r="U66" s="1187"/>
      <c r="V66" s="1622"/>
      <c r="W66" s="1187"/>
      <c r="X66" s="1511"/>
      <c r="Y66" s="1455"/>
      <c r="Z66" s="1455"/>
      <c r="AA66" s="1731"/>
      <c r="AB66" s="1455"/>
      <c r="AC66" s="1455"/>
      <c r="AD66" s="1455"/>
      <c r="AE66" s="1455"/>
    </row>
    <row r="67" spans="1:31" ht="15.75" hidden="1">
      <c r="A67" s="1502"/>
      <c r="B67" s="1352"/>
      <c r="C67" s="1193"/>
      <c r="D67" s="1193"/>
      <c r="E67" s="1193"/>
      <c r="F67" s="1193"/>
      <c r="G67" s="1188"/>
      <c r="H67" s="1196"/>
      <c r="I67" s="1196"/>
      <c r="J67" s="1196"/>
      <c r="K67" s="1201"/>
      <c r="L67" s="1316"/>
      <c r="M67" s="1316"/>
      <c r="N67" s="1337"/>
      <c r="O67" s="1316"/>
      <c r="P67" s="1328"/>
      <c r="Q67" s="1328"/>
      <c r="R67" s="1328"/>
      <c r="S67" s="1328"/>
      <c r="T67" s="1328"/>
      <c r="U67" s="1328"/>
      <c r="V67" s="1623"/>
      <c r="W67" s="1328"/>
      <c r="X67" s="1328"/>
      <c r="Y67" s="1455"/>
      <c r="Z67" s="1455"/>
      <c r="AA67" s="1731"/>
      <c r="AB67" s="1455"/>
      <c r="AC67" s="1455"/>
      <c r="AD67" s="1455"/>
      <c r="AE67" s="1455"/>
    </row>
    <row r="68" spans="1:31" ht="15.75" hidden="1">
      <c r="A68" s="1503"/>
      <c r="B68" s="1363"/>
      <c r="C68" s="1198"/>
      <c r="D68" s="1198"/>
      <c r="E68" s="1198"/>
      <c r="F68" s="1198"/>
      <c r="G68" s="1188"/>
      <c r="H68" s="1201"/>
      <c r="I68" s="1201"/>
      <c r="J68" s="1201"/>
      <c r="K68" s="1201"/>
      <c r="L68" s="1316"/>
      <c r="M68" s="1316"/>
      <c r="N68" s="1337"/>
      <c r="O68" s="1316"/>
      <c r="P68" s="1328"/>
      <c r="Q68" s="1328"/>
      <c r="R68" s="1328"/>
      <c r="S68" s="1328"/>
      <c r="T68" s="1328"/>
      <c r="U68" s="1328"/>
      <c r="V68" s="1623"/>
      <c r="W68" s="1328"/>
      <c r="X68" s="1328"/>
      <c r="Y68" s="1455"/>
      <c r="Z68" s="1455"/>
      <c r="AA68" s="1731"/>
      <c r="AB68" s="1455"/>
      <c r="AC68" s="1455"/>
      <c r="AD68" s="1455"/>
      <c r="AE68" s="1455"/>
    </row>
    <row r="69" spans="1:31" ht="15.75" hidden="1">
      <c r="A69" s="1503"/>
      <c r="B69" s="1351"/>
      <c r="C69" s="1198"/>
      <c r="D69" s="1198"/>
      <c r="E69" s="1198"/>
      <c r="F69" s="1198"/>
      <c r="G69" s="1188"/>
      <c r="H69" s="1201"/>
      <c r="I69" s="1201"/>
      <c r="J69" s="1201"/>
      <c r="K69" s="1201"/>
      <c r="L69" s="1316"/>
      <c r="M69" s="1316"/>
      <c r="N69" s="1337"/>
      <c r="O69" s="1316"/>
      <c r="P69" s="1328"/>
      <c r="Q69" s="1328"/>
      <c r="R69" s="1328"/>
      <c r="S69" s="1328"/>
      <c r="T69" s="1328"/>
      <c r="U69" s="1328"/>
      <c r="V69" s="1623"/>
      <c r="W69" s="1328"/>
      <c r="X69" s="1328"/>
      <c r="Y69" s="1455"/>
      <c r="Z69" s="1455"/>
      <c r="AA69" s="1731"/>
      <c r="AB69" s="1455"/>
      <c r="AC69" s="1455"/>
      <c r="AD69" s="1455"/>
      <c r="AE69" s="1455"/>
    </row>
    <row r="70" spans="1:31" ht="15.75" hidden="1">
      <c r="A70" s="1502"/>
      <c r="B70" s="1352" t="s">
        <v>1182</v>
      </c>
      <c r="C70" s="1198"/>
      <c r="D70" s="1198"/>
      <c r="E70" s="1198"/>
      <c r="F70" s="1198"/>
      <c r="G70" s="1188"/>
      <c r="H70" s="1201"/>
      <c r="I70" s="1201"/>
      <c r="J70" s="1201"/>
      <c r="K70" s="1201"/>
      <c r="L70" s="1316"/>
      <c r="M70" s="1316"/>
      <c r="N70" s="1337"/>
      <c r="O70" s="1316"/>
      <c r="P70" s="1328"/>
      <c r="Q70" s="1328"/>
      <c r="R70" s="1328"/>
      <c r="S70" s="1328"/>
      <c r="T70" s="1328"/>
      <c r="U70" s="1328"/>
      <c r="V70" s="1623"/>
      <c r="W70" s="1328"/>
      <c r="X70" s="1328"/>
      <c r="Y70" s="1455"/>
      <c r="Z70" s="1455"/>
      <c r="AA70" s="1731"/>
      <c r="AB70" s="1455"/>
      <c r="AC70" s="1455"/>
      <c r="AD70" s="1455"/>
      <c r="AE70" s="1455"/>
    </row>
    <row r="71" spans="1:31" ht="15.75" hidden="1">
      <c r="A71" s="1489"/>
      <c r="B71" s="1352" t="s">
        <v>1182</v>
      </c>
      <c r="C71" s="1198"/>
      <c r="D71" s="1198"/>
      <c r="E71" s="1198"/>
      <c r="F71" s="1198"/>
      <c r="G71" s="1188"/>
      <c r="H71" s="1201"/>
      <c r="I71" s="1201"/>
      <c r="J71" s="1201"/>
      <c r="K71" s="1201"/>
      <c r="L71" s="1316"/>
      <c r="M71" s="1316"/>
      <c r="N71" s="1337"/>
      <c r="O71" s="1316"/>
      <c r="P71" s="1328"/>
      <c r="Q71" s="1328"/>
      <c r="R71" s="1328"/>
      <c r="S71" s="1328"/>
      <c r="T71" s="1328"/>
      <c r="U71" s="1328"/>
      <c r="V71" s="1623"/>
      <c r="W71" s="1328"/>
      <c r="X71" s="1328"/>
      <c r="Y71" s="1455"/>
      <c r="Z71" s="1455"/>
      <c r="AA71" s="1731"/>
      <c r="AB71" s="1455"/>
      <c r="AC71" s="1455"/>
      <c r="AD71" s="1455"/>
      <c r="AE71" s="1455"/>
    </row>
    <row r="72" spans="1:31" ht="15.75" hidden="1">
      <c r="A72" s="1489" t="s">
        <v>1375</v>
      </c>
      <c r="B72" s="1352"/>
      <c r="C72" s="1198"/>
      <c r="D72" s="1198"/>
      <c r="E72" s="1198"/>
      <c r="F72" s="1198"/>
      <c r="G72" s="1188"/>
      <c r="H72" s="1201"/>
      <c r="I72" s="1201"/>
      <c r="J72" s="1201"/>
      <c r="K72" s="1201"/>
      <c r="L72" s="1316"/>
      <c r="M72" s="1316"/>
      <c r="N72" s="1337"/>
      <c r="O72" s="1316"/>
      <c r="P72" s="1328">
        <f>(P62+P26+P33+P49)/P121</f>
        <v>0.4199019873922943</v>
      </c>
      <c r="Q72" s="1328"/>
      <c r="R72" s="1328"/>
      <c r="S72" s="1328"/>
      <c r="T72" s="1328"/>
      <c r="U72" s="1328"/>
      <c r="V72" s="1623"/>
      <c r="W72" s="1328"/>
      <c r="X72" s="1328"/>
      <c r="Y72" s="1455"/>
      <c r="Z72" s="1455"/>
      <c r="AA72" s="1731"/>
      <c r="AB72" s="1455"/>
      <c r="AC72" s="1455"/>
      <c r="AD72" s="1455"/>
      <c r="AE72" s="1455"/>
    </row>
    <row r="73" spans="1:31" ht="20.25" customHeight="1">
      <c r="A73" s="1489" t="s">
        <v>1069</v>
      </c>
      <c r="B73" s="1364"/>
      <c r="C73" s="1193">
        <v>2299.0999999999995</v>
      </c>
      <c r="D73" s="1193">
        <v>2758.6373049774757</v>
      </c>
      <c r="E73" s="1193">
        <v>3244.214874262569</v>
      </c>
      <c r="F73" s="1193">
        <f>239.9+84.24+729.62+993.16+826.26</f>
        <v>2873.1800000000003</v>
      </c>
      <c r="G73" s="1187">
        <v>3575.4204758623514</v>
      </c>
      <c r="H73" s="1196">
        <v>1678.5476551311758</v>
      </c>
      <c r="I73" s="1196">
        <v>1896.8728207311756</v>
      </c>
      <c r="J73" s="1196">
        <f>J74+J77</f>
        <v>3338.940969085367</v>
      </c>
      <c r="K73" s="1187">
        <f>K74+K77</f>
        <v>4483.668648782767</v>
      </c>
      <c r="L73" s="1187">
        <v>467.65</v>
      </c>
      <c r="M73" s="1187">
        <v>4016.0257</v>
      </c>
      <c r="N73" s="1335">
        <f>N74+N75+N76</f>
        <v>2279.916890071599</v>
      </c>
      <c r="O73" s="1187">
        <v>5083.135127079817</v>
      </c>
      <c r="P73" s="1187">
        <f>P74+P75+P76</f>
        <v>5085.05893623468</v>
      </c>
      <c r="Q73" s="1187">
        <f>P73/2</f>
        <v>2542.52946811734</v>
      </c>
      <c r="R73" s="1187">
        <f>P73-Q73</f>
        <v>2542.52946811734</v>
      </c>
      <c r="S73" s="1187"/>
      <c r="T73" s="1196">
        <f>U73+W73</f>
        <v>5210.659891959676</v>
      </c>
      <c r="U73" s="1187">
        <f>R73</f>
        <v>2542.52946811734</v>
      </c>
      <c r="V73" s="1598"/>
      <c r="W73" s="1196">
        <f>U73*V62</f>
        <v>2668.1304238423368</v>
      </c>
      <c r="X73" s="1511"/>
      <c r="Y73" s="1455"/>
      <c r="Z73" s="1455"/>
      <c r="AA73" s="1731"/>
      <c r="AB73" s="1455"/>
      <c r="AC73" s="1455"/>
      <c r="AD73" s="1455"/>
      <c r="AE73" s="1455"/>
    </row>
    <row r="74" spans="1:31" s="57" customFormat="1" ht="27.75" customHeight="1">
      <c r="A74" s="1255" t="s">
        <v>584</v>
      </c>
      <c r="B74" s="1365">
        <v>1</v>
      </c>
      <c r="C74" s="1195"/>
      <c r="D74" s="1195"/>
      <c r="E74" s="1195"/>
      <c r="F74" s="1195"/>
      <c r="G74" s="1186">
        <v>2593.6058086125427</v>
      </c>
      <c r="H74" s="1195">
        <v>1186.9429043062714</v>
      </c>
      <c r="I74" s="1195">
        <v>1406.6629043062712</v>
      </c>
      <c r="J74" s="1195">
        <f>'цеховые затраты  (2)'!D106</f>
        <v>2255.3228959999997</v>
      </c>
      <c r="K74" s="1195">
        <v>2767.3486487827677</v>
      </c>
      <c r="L74" s="1320"/>
      <c r="M74" s="1320"/>
      <c r="N74" s="1343">
        <f>'цеховые затраты  (2)'!G106</f>
        <v>1507.548470000001</v>
      </c>
      <c r="O74" s="1195">
        <v>3180.2636664000383</v>
      </c>
      <c r="P74" s="1195">
        <f>'цеховые затраты  (2)'!E29</f>
        <v>3180.2636664000383</v>
      </c>
      <c r="Q74" s="1217"/>
      <c r="R74" s="1217"/>
      <c r="S74" s="1217"/>
      <c r="T74" s="1217"/>
      <c r="U74" s="1217"/>
      <c r="V74" s="1624"/>
      <c r="W74" s="1217"/>
      <c r="X74" s="1530"/>
      <c r="Y74" s="1540"/>
      <c r="Z74" s="1540"/>
      <c r="AA74" s="1739"/>
      <c r="AB74" s="1540"/>
      <c r="AC74" s="1540"/>
      <c r="AD74" s="1540"/>
      <c r="AE74" s="1540"/>
    </row>
    <row r="75" spans="1:31" s="57" customFormat="1" ht="15.75">
      <c r="A75" s="1504" t="s">
        <v>1333</v>
      </c>
      <c r="B75" s="1365">
        <f>'ФОТ основных'!H34</f>
        <v>0.461008221618013</v>
      </c>
      <c r="C75" s="1195"/>
      <c r="D75" s="1195"/>
      <c r="E75" s="1195"/>
      <c r="F75" s="1195"/>
      <c r="G75" s="1186">
        <v>627.871230253658</v>
      </c>
      <c r="H75" s="1195">
        <v>313.935615126829</v>
      </c>
      <c r="I75" s="1195">
        <v>313.935615126829</v>
      </c>
      <c r="J75" s="1195">
        <f>'цеховые затраты  (2)'!D116*'цеховые затраты  (2)'!D83</f>
        <v>1003.6069694582371</v>
      </c>
      <c r="K75" s="1195">
        <v>858.16</v>
      </c>
      <c r="L75" s="1320">
        <v>429.08</v>
      </c>
      <c r="M75" s="1320">
        <v>429.08</v>
      </c>
      <c r="N75" s="1343">
        <f>'цеховые затраты  (2)'!G116*'цеховые затраты  (2)'!G83</f>
        <v>716.47896454235</v>
      </c>
      <c r="O75" s="1195">
        <v>1426.9805752012571</v>
      </c>
      <c r="P75" s="1195">
        <f>B75*'цеховые затраты  (2)'!E83</f>
        <v>1428.4232571433179</v>
      </c>
      <c r="Q75" s="1195"/>
      <c r="R75" s="1195"/>
      <c r="S75" s="1195"/>
      <c r="T75" s="1195"/>
      <c r="U75" s="1195"/>
      <c r="V75" s="1625"/>
      <c r="W75" s="1195"/>
      <c r="X75" s="1531"/>
      <c r="Y75" s="1540"/>
      <c r="Z75" s="1540"/>
      <c r="AA75" s="1739"/>
      <c r="AB75" s="1540"/>
      <c r="AC75" s="1540"/>
      <c r="AD75" s="1540"/>
      <c r="AE75" s="1540"/>
    </row>
    <row r="76" spans="1:31" s="57" customFormat="1" ht="15.75">
      <c r="A76" s="1504" t="s">
        <v>178</v>
      </c>
      <c r="B76" s="1365">
        <f>'ФОТ основных'!H34</f>
        <v>0.461008221618013</v>
      </c>
      <c r="C76" s="1195"/>
      <c r="D76" s="1195"/>
      <c r="E76" s="1195"/>
      <c r="F76" s="1195"/>
      <c r="G76" s="1186">
        <v>43.760302596150495</v>
      </c>
      <c r="H76" s="1195">
        <v>21.880151298075248</v>
      </c>
      <c r="I76" s="1195">
        <v>21.880151298075248</v>
      </c>
      <c r="J76" s="1195">
        <f>'цеховые затраты  (2)'!D102*'цеховые затраты  (2)'!D116</f>
        <v>80.01110362713013</v>
      </c>
      <c r="K76" s="1195">
        <v>858.16</v>
      </c>
      <c r="L76" s="1320">
        <v>429.08</v>
      </c>
      <c r="M76" s="1320">
        <v>429.08</v>
      </c>
      <c r="N76" s="1343">
        <f>'цеховые затраты  (2)'!G102*'цеховые затраты  (2)'!G116</f>
        <v>55.88945552924788</v>
      </c>
      <c r="O76" s="1195">
        <v>475.8908854785208</v>
      </c>
      <c r="P76" s="1195">
        <f>B76*'цеховые затраты  (2)'!E102</f>
        <v>476.3720126913242</v>
      </c>
      <c r="Q76" s="1195"/>
      <c r="R76" s="1195"/>
      <c r="S76" s="1195"/>
      <c r="T76" s="1195"/>
      <c r="U76" s="1195"/>
      <c r="V76" s="1625"/>
      <c r="W76" s="1195"/>
      <c r="X76" s="1531"/>
      <c r="Y76" s="1540"/>
      <c r="Z76" s="1540"/>
      <c r="AA76" s="1739"/>
      <c r="AB76" s="1540"/>
      <c r="AC76" s="1540"/>
      <c r="AD76" s="1540"/>
      <c r="AE76" s="1540"/>
    </row>
    <row r="77" spans="1:31" s="57" customFormat="1" ht="31.5">
      <c r="A77" s="1255" t="s">
        <v>583</v>
      </c>
      <c r="B77" s="1365"/>
      <c r="C77" s="1195"/>
      <c r="D77" s="1195"/>
      <c r="E77" s="1195"/>
      <c r="F77" s="1195"/>
      <c r="G77" s="1186">
        <f>G76+G75</f>
        <v>671.6315328498085</v>
      </c>
      <c r="H77" s="1195"/>
      <c r="I77" s="1195"/>
      <c r="J77" s="1217">
        <f>'цеховые затраты  (2)'!D116*'цеховые затраты  (2)'!D108</f>
        <v>1083.6180730853673</v>
      </c>
      <c r="K77" s="1217">
        <f>K76+K75</f>
        <v>1716.32</v>
      </c>
      <c r="L77" s="1332"/>
      <c r="M77" s="1332"/>
      <c r="N77" s="1343">
        <f>N76+N75</f>
        <v>772.3684200715979</v>
      </c>
      <c r="O77" s="1217">
        <v>1902.8714606797785</v>
      </c>
      <c r="P77" s="1217"/>
      <c r="Q77" s="1217"/>
      <c r="R77" s="1217"/>
      <c r="S77" s="1217"/>
      <c r="T77" s="1217"/>
      <c r="U77" s="1217"/>
      <c r="V77" s="1624"/>
      <c r="W77" s="1217"/>
      <c r="X77" s="1530"/>
      <c r="Y77" s="1540"/>
      <c r="Z77" s="1540"/>
      <c r="AA77" s="1739"/>
      <c r="AB77" s="1540"/>
      <c r="AC77" s="1540"/>
      <c r="AD77" s="1540"/>
      <c r="AE77" s="1540"/>
    </row>
    <row r="78" spans="1:31" ht="23.25" customHeight="1">
      <c r="A78" s="1489" t="s">
        <v>1068</v>
      </c>
      <c r="B78" s="1366">
        <f>'ФОТ основных'!I34</f>
        <v>0.4467800670970739</v>
      </c>
      <c r="C78" s="1198">
        <v>1867.7999999999997</v>
      </c>
      <c r="D78" s="1198">
        <v>1172.1582746873814</v>
      </c>
      <c r="E78" s="1198">
        <v>863.396140104312</v>
      </c>
      <c r="F78" s="1186">
        <f>143.38+309.71+24.93+64.77</f>
        <v>542.79</v>
      </c>
      <c r="G78" s="1187">
        <f>350.28</f>
        <v>350.28</v>
      </c>
      <c r="H78" s="1201">
        <v>175.14105821320365</v>
      </c>
      <c r="I78" s="1201">
        <v>175.14105821320365</v>
      </c>
      <c r="J78" s="1201">
        <f>ОХР!E41</f>
        <v>811.3360533645949</v>
      </c>
      <c r="K78" s="1201">
        <v>1010.1186947307713</v>
      </c>
      <c r="L78" s="1206">
        <v>505.05934736538563</v>
      </c>
      <c r="M78" s="1206">
        <v>141.885</v>
      </c>
      <c r="N78" s="1333">
        <f>ОХР!H40*ОХР!H47</f>
        <v>1095.103050978579</v>
      </c>
      <c r="O78" s="1196">
        <v>1823.4790805386203</v>
      </c>
      <c r="P78" s="1196">
        <f>B78*ОХР!F40</f>
        <v>786.5326324119148</v>
      </c>
      <c r="Q78" s="1185">
        <f>P78/2</f>
        <v>393.2663162059574</v>
      </c>
      <c r="R78" s="1185">
        <f>P78-Q78</f>
        <v>393.2663162059574</v>
      </c>
      <c r="S78" s="1185"/>
      <c r="T78" s="1196">
        <f>U78+W78</f>
        <v>805.9599884324891</v>
      </c>
      <c r="U78" s="1196">
        <f>R78</f>
        <v>393.2663162059574</v>
      </c>
      <c r="V78" s="1598">
        <f>W78/U78</f>
        <v>1.0494</v>
      </c>
      <c r="W78" s="1196">
        <f>U78*$V$19</f>
        <v>412.69367222653176</v>
      </c>
      <c r="X78" s="1513"/>
      <c r="Y78" s="1455"/>
      <c r="Z78" s="1455"/>
      <c r="AA78" s="1731"/>
      <c r="AB78" s="1455"/>
      <c r="AC78" s="1455"/>
      <c r="AD78" s="1455"/>
      <c r="AE78" s="1455"/>
    </row>
    <row r="79" spans="1:31" ht="15.75">
      <c r="A79" s="1255" t="s">
        <v>1417</v>
      </c>
      <c r="B79" s="1352" t="s">
        <v>1182</v>
      </c>
      <c r="C79" s="1198"/>
      <c r="D79" s="1198"/>
      <c r="E79" s="1198"/>
      <c r="F79" s="1186">
        <v>309.71</v>
      </c>
      <c r="G79" s="1188"/>
      <c r="H79" s="1201"/>
      <c r="I79" s="1201"/>
      <c r="J79" s="1338">
        <f>ОХР!E21*ОХР!E47</f>
        <v>401.9975679744329</v>
      </c>
      <c r="K79" s="1341">
        <v>302</v>
      </c>
      <c r="L79" s="1370">
        <v>151</v>
      </c>
      <c r="M79" s="1370">
        <v>151</v>
      </c>
      <c r="N79" s="1338">
        <f>ОХР!H47*ОХР!H21</f>
        <v>802.5417258999634</v>
      </c>
      <c r="O79" s="1370">
        <v>1037.363058528764</v>
      </c>
      <c r="P79" s="1370">
        <v>0</v>
      </c>
      <c r="Q79" s="1218"/>
      <c r="R79" s="1218"/>
      <c r="S79" s="1218"/>
      <c r="T79" s="1218"/>
      <c r="U79" s="1218"/>
      <c r="V79" s="1626"/>
      <c r="W79" s="1218"/>
      <c r="X79" s="1532"/>
      <c r="Y79" s="1455"/>
      <c r="Z79" s="1455"/>
      <c r="AA79" s="1731"/>
      <c r="AB79" s="1455"/>
      <c r="AC79" s="1455"/>
      <c r="AD79" s="1455"/>
      <c r="AE79" s="1455"/>
    </row>
    <row r="80" spans="1:31" ht="32.25" thickBot="1">
      <c r="A80" s="1569" t="s">
        <v>1167</v>
      </c>
      <c r="B80" s="1506" t="s">
        <v>1182</v>
      </c>
      <c r="C80" s="1507">
        <v>849.2</v>
      </c>
      <c r="D80" s="1507">
        <v>976.34632</v>
      </c>
      <c r="E80" s="1507">
        <v>225</v>
      </c>
      <c r="F80" s="1508">
        <v>938.69</v>
      </c>
      <c r="G80" s="1561">
        <v>780.3308436</v>
      </c>
      <c r="H80" s="1570">
        <v>380.46360000000004</v>
      </c>
      <c r="I80" s="1570">
        <v>399.8672436</v>
      </c>
      <c r="J80" s="1570">
        <f aca="true" t="shared" si="0" ref="J80:O80">J102+J98</f>
        <v>1083.3579696807737</v>
      </c>
      <c r="K80" s="1570">
        <f t="shared" si="0"/>
        <v>1078.8126408763292</v>
      </c>
      <c r="L80" s="1570">
        <f t="shared" si="0"/>
        <v>484.54895150059076</v>
      </c>
      <c r="M80" s="1570">
        <f t="shared" si="0"/>
        <v>594.2636893757385</v>
      </c>
      <c r="N80" s="1571">
        <f t="shared" si="0"/>
        <v>769.4436947636646</v>
      </c>
      <c r="O80" s="1570">
        <f t="shared" si="0"/>
        <v>1331.4222518328122</v>
      </c>
      <c r="P80" s="1572" t="s">
        <v>1364</v>
      </c>
      <c r="Q80" s="1573"/>
      <c r="R80" s="1573"/>
      <c r="S80" s="1463"/>
      <c r="T80" s="1196"/>
      <c r="U80" s="1574"/>
      <c r="V80" s="1598"/>
      <c r="W80" s="1196"/>
      <c r="X80" s="1575"/>
      <c r="Y80" s="1576"/>
      <c r="Z80" s="1576"/>
      <c r="AA80" s="1759"/>
      <c r="AB80" s="1455"/>
      <c r="AC80" s="1455"/>
      <c r="AD80" s="1455"/>
      <c r="AE80" s="1455"/>
    </row>
    <row r="81" spans="1:31" ht="22.5" customHeight="1" thickBot="1">
      <c r="A81" s="1470"/>
      <c r="B81" s="1471"/>
      <c r="C81" s="1208"/>
      <c r="D81" s="1208"/>
      <c r="E81" s="1208"/>
      <c r="F81" s="1472"/>
      <c r="G81" s="1473"/>
      <c r="H81" s="1473"/>
      <c r="I81" s="1473"/>
      <c r="J81" s="1474"/>
      <c r="K81" s="1475"/>
      <c r="L81" s="1474"/>
      <c r="M81" s="1474"/>
      <c r="N81" s="1476"/>
      <c r="O81" s="1476"/>
      <c r="P81" s="1476"/>
      <c r="Q81" s="1477"/>
      <c r="R81" s="1477"/>
      <c r="S81" s="1477"/>
      <c r="T81" s="1477"/>
      <c r="U81" s="1477"/>
      <c r="V81" s="1627"/>
      <c r="W81" s="1477"/>
      <c r="X81" s="1533"/>
      <c r="Y81" s="1543"/>
      <c r="Z81" s="1543"/>
      <c r="AA81" s="1760"/>
      <c r="AB81" s="1455"/>
      <c r="AC81" s="1455"/>
      <c r="AD81" s="1455"/>
      <c r="AE81" s="1455"/>
    </row>
    <row r="82" spans="1:31" ht="18.75">
      <c r="A82" s="1727" t="s">
        <v>1186</v>
      </c>
      <c r="B82" s="1352" t="s">
        <v>1182</v>
      </c>
      <c r="C82" s="1193">
        <v>4820</v>
      </c>
      <c r="D82" s="1193">
        <v>3826.165756144627</v>
      </c>
      <c r="E82" s="1193">
        <v>3257.75</v>
      </c>
      <c r="F82" s="1186">
        <v>3608.3</v>
      </c>
      <c r="G82" s="1187">
        <v>3620.6094586962045</v>
      </c>
      <c r="H82" s="1196">
        <v>1747.398387401643</v>
      </c>
      <c r="I82" s="1196">
        <v>1873.2110712945614</v>
      </c>
      <c r="J82" s="1196">
        <f>J83+J87</f>
        <v>3624.3676014549455</v>
      </c>
      <c r="K82" s="1187">
        <v>4242.05721889117</v>
      </c>
      <c r="L82" s="1206">
        <v>0</v>
      </c>
      <c r="M82" s="1206">
        <v>0</v>
      </c>
      <c r="N82" s="1335">
        <f>N83+N87</f>
        <v>2512.56323027181</v>
      </c>
      <c r="O82" s="1187">
        <f>O83+O87</f>
        <v>4269.308767732928</v>
      </c>
      <c r="P82" s="1187">
        <f>Q82+R82</f>
        <v>4068.11253694242</v>
      </c>
      <c r="Q82" s="1187">
        <f>Q83+Q87</f>
        <v>1960.536162381889</v>
      </c>
      <c r="R82" s="1187">
        <f>R83+R87</f>
        <v>2107.576374560531</v>
      </c>
      <c r="S82" s="1187"/>
      <c r="T82" s="1196">
        <f>U82+W82</f>
        <v>4204.406846821368</v>
      </c>
      <c r="U82" s="1187">
        <f>U83+U87</f>
        <v>2031.114418754284</v>
      </c>
      <c r="V82" s="1628">
        <f>R82-U82</f>
        <v>76.4619558062468</v>
      </c>
      <c r="W82" s="1187">
        <f>W83+W87</f>
        <v>2173.292428067084</v>
      </c>
      <c r="X82" s="1516">
        <f>W82/U82</f>
        <v>1.07</v>
      </c>
      <c r="Y82" s="1187">
        <f>Y83+Y87</f>
        <v>2173.292428067084</v>
      </c>
      <c r="Z82" s="1455"/>
      <c r="AA82" s="1511">
        <f>AA83+AA87</f>
        <v>2308.036558607243</v>
      </c>
      <c r="AB82" s="1455"/>
      <c r="AC82" s="1455"/>
      <c r="AD82" s="1455"/>
      <c r="AE82" s="1455"/>
    </row>
    <row r="83" spans="1:31" ht="25.5" customHeight="1">
      <c r="A83" s="1319" t="s">
        <v>1160</v>
      </c>
      <c r="B83" s="1352" t="s">
        <v>1182</v>
      </c>
      <c r="C83" s="1193">
        <v>0</v>
      </c>
      <c r="D83" s="1193">
        <v>1016.3155550288338</v>
      </c>
      <c r="E83" s="1193"/>
      <c r="F83" s="1186">
        <v>2038.4</v>
      </c>
      <c r="G83" s="1187"/>
      <c r="H83" s="1195">
        <v>1318.6633953662529</v>
      </c>
      <c r="I83" s="1195">
        <v>1413.6071598326232</v>
      </c>
      <c r="J83" s="1196">
        <v>2725.9532685489457</v>
      </c>
      <c r="K83" s="1187"/>
      <c r="L83" s="1320">
        <v>0</v>
      </c>
      <c r="M83" s="1320">
        <v>0</v>
      </c>
      <c r="N83" s="1333">
        <f>1866643.55556181/1000</f>
        <v>1866.64355556181</v>
      </c>
      <c r="O83" s="1193">
        <f>O84*O85</f>
        <v>3232.1167398951598</v>
      </c>
      <c r="P83" s="1333">
        <f>P84*P85</f>
        <v>3072.9816974370547</v>
      </c>
      <c r="Q83" s="1444">
        <f>Q84*Q85</f>
        <v>1480.955034909424</v>
      </c>
      <c r="R83" s="1444">
        <f>R84*R85</f>
        <v>1592.0266625276308</v>
      </c>
      <c r="S83" s="1444"/>
      <c r="T83" s="1193"/>
      <c r="U83" s="1333">
        <f>U84*U85</f>
        <v>1534.2686264337137</v>
      </c>
      <c r="V83" s="1193"/>
      <c r="W83" s="1333">
        <f>W84*W85</f>
        <v>1641.6674302840738</v>
      </c>
      <c r="X83" s="1534"/>
      <c r="Y83" s="1333">
        <f>Y84*Y85</f>
        <v>1641.6674302840738</v>
      </c>
      <c r="Z83" s="1455"/>
      <c r="AA83" s="1761">
        <f>AA84*AA85</f>
        <v>1743.4508109616863</v>
      </c>
      <c r="AB83" s="1455"/>
      <c r="AC83" s="1455"/>
      <c r="AD83" s="1455"/>
      <c r="AE83" s="1455"/>
    </row>
    <row r="84" spans="1:31" ht="19.5" customHeight="1">
      <c r="A84" s="1197" t="s">
        <v>1161</v>
      </c>
      <c r="B84" s="1353" t="s">
        <v>1181</v>
      </c>
      <c r="C84" s="1198"/>
      <c r="D84" s="1198">
        <v>4.426345805548783</v>
      </c>
      <c r="E84" s="1198"/>
      <c r="F84" s="1198">
        <v>4.38</v>
      </c>
      <c r="G84" s="1187"/>
      <c r="H84" s="1199">
        <v>4.65</v>
      </c>
      <c r="I84" s="1199">
        <v>4.984800000000001</v>
      </c>
      <c r="J84" s="1196">
        <f>J83/J85</f>
        <v>4.665140005457496</v>
      </c>
      <c r="K84" s="1187"/>
      <c r="L84" s="1320">
        <v>4.61</v>
      </c>
      <c r="M84" s="1320">
        <v>4.95575</v>
      </c>
      <c r="N84" s="1333">
        <f>N83/N85</f>
        <v>4.57436678273076</v>
      </c>
      <c r="O84" s="1193">
        <f>J84*1.067*1.055</f>
        <v>5.251478127043421</v>
      </c>
      <c r="P84" s="1333">
        <f>(5.01+1.075*5.01)/2</f>
        <v>5.197875</v>
      </c>
      <c r="Q84" s="1333">
        <v>5.01</v>
      </c>
      <c r="R84" s="1333">
        <f>Q84*1.075</f>
        <v>5.38575</v>
      </c>
      <c r="S84" s="1333"/>
      <c r="T84" s="1193"/>
      <c r="U84" s="1193">
        <f>R84</f>
        <v>5.38575</v>
      </c>
      <c r="V84" s="1193">
        <v>1.07</v>
      </c>
      <c r="W84" s="1193">
        <f>U84*V84</f>
        <v>5.7627525</v>
      </c>
      <c r="X84" s="1534"/>
      <c r="Y84" s="1337">
        <f>W84</f>
        <v>5.7627525</v>
      </c>
      <c r="Z84" s="1455">
        <v>1.062</v>
      </c>
      <c r="AA84" s="1762">
        <f>Y84*Z84</f>
        <v>6.120043155</v>
      </c>
      <c r="AB84" s="1455"/>
      <c r="AC84" s="1455"/>
      <c r="AD84" s="1455"/>
      <c r="AE84" s="1455"/>
    </row>
    <row r="85" spans="1:31" ht="24" customHeight="1">
      <c r="A85" s="1197" t="s">
        <v>1159</v>
      </c>
      <c r="B85" s="1354" t="s">
        <v>1180</v>
      </c>
      <c r="C85" s="1198"/>
      <c r="D85" s="1198">
        <v>229.606</v>
      </c>
      <c r="E85" s="1198"/>
      <c r="F85" s="1186">
        <v>465.27</v>
      </c>
      <c r="G85" s="1187">
        <v>567.1670517704313</v>
      </c>
      <c r="H85" s="1200">
        <v>283.58352588521564</v>
      </c>
      <c r="I85" s="1200">
        <v>283.58352588521564</v>
      </c>
      <c r="J85" s="1196">
        <v>584.324</v>
      </c>
      <c r="K85" s="1187"/>
      <c r="L85" s="1320">
        <v>0</v>
      </c>
      <c r="M85" s="1320">
        <v>0</v>
      </c>
      <c r="N85" s="1333">
        <v>408.066</v>
      </c>
      <c r="O85" s="1193">
        <v>615.468</v>
      </c>
      <c r="P85" s="1333">
        <f>P86*P6</f>
        <v>591.199614734301</v>
      </c>
      <c r="Q85" s="1185">
        <f>P85/2</f>
        <v>295.5998073671505</v>
      </c>
      <c r="R85" s="1185">
        <f>P85-Q85</f>
        <v>295.5998073671505</v>
      </c>
      <c r="S85" s="1185"/>
      <c r="T85" s="1193"/>
      <c r="U85" s="1193">
        <f>U86*U6</f>
        <v>284.8755746987353</v>
      </c>
      <c r="V85" s="1193"/>
      <c r="W85" s="1193">
        <f>W86*W6</f>
        <v>284.8755746987353</v>
      </c>
      <c r="X85" s="1534"/>
      <c r="Y85" s="1333">
        <f>Y86*Y6</f>
        <v>284.8755746987353</v>
      </c>
      <c r="Z85" s="1455"/>
      <c r="AA85" s="1761">
        <f>AA86*AA6</f>
        <v>284.8755746987353</v>
      </c>
      <c r="AB85" s="1455"/>
      <c r="AC85" s="1455"/>
      <c r="AD85" s="1455"/>
      <c r="AE85" s="1455"/>
    </row>
    <row r="86" spans="1:31" ht="15" customHeight="1">
      <c r="A86" s="1202" t="s">
        <v>1315</v>
      </c>
      <c r="B86" s="1354"/>
      <c r="C86" s="1198"/>
      <c r="D86" s="1198"/>
      <c r="E86" s="1198"/>
      <c r="F86" s="1321">
        <v>0.319144776779743</v>
      </c>
      <c r="G86" s="1187"/>
      <c r="H86" s="1201"/>
      <c r="I86" s="1201"/>
      <c r="J86" s="1196"/>
      <c r="K86" s="1196"/>
      <c r="L86" s="1196"/>
      <c r="M86" s="1196"/>
      <c r="N86" s="1333">
        <f>N85/N6</f>
        <v>0.3679518854484139</v>
      </c>
      <c r="O86" s="1193">
        <f>O85/O6</f>
        <v>0.4684722268035858</v>
      </c>
      <c r="P86" s="1333">
        <v>0.45</v>
      </c>
      <c r="Q86" s="1444"/>
      <c r="R86" s="1444"/>
      <c r="S86" s="1444"/>
      <c r="T86" s="1193"/>
      <c r="U86" s="1193">
        <f>P86</f>
        <v>0.45</v>
      </c>
      <c r="V86" s="1193"/>
      <c r="W86" s="1193">
        <f>P86</f>
        <v>0.45</v>
      </c>
      <c r="X86" s="1534"/>
      <c r="Y86" s="1337">
        <f>P86</f>
        <v>0.45</v>
      </c>
      <c r="Z86" s="1455"/>
      <c r="AA86" s="1754">
        <f>P86</f>
        <v>0.45</v>
      </c>
      <c r="AB86" s="1455"/>
      <c r="AC86" s="1455"/>
      <c r="AD86" s="1455"/>
      <c r="AE86" s="1455"/>
    </row>
    <row r="87" spans="1:31" ht="26.25" customHeight="1">
      <c r="A87" s="1319" t="s">
        <v>1162</v>
      </c>
      <c r="B87" s="1352" t="s">
        <v>1182</v>
      </c>
      <c r="C87" s="1193">
        <v>0</v>
      </c>
      <c r="D87" s="1193">
        <v>2809.850201115793</v>
      </c>
      <c r="E87" s="1193"/>
      <c r="F87" s="1186">
        <v>655.29</v>
      </c>
      <c r="G87" s="1187"/>
      <c r="H87" s="1195">
        <v>428.73499203539006</v>
      </c>
      <c r="I87" s="1195">
        <v>459.6039114619382</v>
      </c>
      <c r="J87" s="1196">
        <v>898.414332906</v>
      </c>
      <c r="K87" s="1195"/>
      <c r="L87" s="1320">
        <v>0</v>
      </c>
      <c r="M87" s="1320">
        <v>0</v>
      </c>
      <c r="N87" s="1333">
        <f>645919.67471/1000</f>
        <v>645.9196747100001</v>
      </c>
      <c r="O87" s="1193">
        <f>O88*O89</f>
        <v>1037.192027837768</v>
      </c>
      <c r="P87" s="1333">
        <f>P88*P89</f>
        <v>994.4765785983922</v>
      </c>
      <c r="Q87" s="1444">
        <f>Q88*Q89</f>
        <v>479.5811274724649</v>
      </c>
      <c r="R87" s="1444">
        <f>R88*R89</f>
        <v>515.5497120328998</v>
      </c>
      <c r="S87" s="1444"/>
      <c r="T87" s="1193"/>
      <c r="U87" s="1333">
        <f>U88*U89</f>
        <v>496.84579232057024</v>
      </c>
      <c r="V87" s="1193"/>
      <c r="W87" s="1333">
        <f>W88*W89</f>
        <v>531.6249977830101</v>
      </c>
      <c r="X87" s="1534"/>
      <c r="Y87" s="1333">
        <f>Y88*Y89</f>
        <v>531.6249977830101</v>
      </c>
      <c r="Z87" s="1455"/>
      <c r="AA87" s="1761">
        <f>AA88*AA89</f>
        <v>564.5857476455568</v>
      </c>
      <c r="AB87" s="1455"/>
      <c r="AC87" s="1455"/>
      <c r="AD87" s="1455"/>
      <c r="AE87" s="1455"/>
    </row>
    <row r="88" spans="1:31" ht="26.25" customHeight="1">
      <c r="A88" s="1197" t="s">
        <v>1161</v>
      </c>
      <c r="B88" s="1353" t="s">
        <v>1181</v>
      </c>
      <c r="C88" s="1198"/>
      <c r="D88" s="1198">
        <v>3.663281146545306</v>
      </c>
      <c r="E88" s="1198"/>
      <c r="F88" s="1198">
        <v>3.9</v>
      </c>
      <c r="G88" s="1187"/>
      <c r="H88" s="1199">
        <v>4.19</v>
      </c>
      <c r="I88" s="1199">
        <v>4.491680000000001</v>
      </c>
      <c r="J88" s="1196">
        <f>J87/J89</f>
        <v>4.181491391431431</v>
      </c>
      <c r="K88" s="1187"/>
      <c r="L88" s="1320">
        <v>4.11</v>
      </c>
      <c r="M88" s="1320">
        <v>4.4182500000000005</v>
      </c>
      <c r="N88" s="1333">
        <f>N87/N89</f>
        <v>4.198864181119664</v>
      </c>
      <c r="O88" s="1193">
        <f>J88*1.067*1.055</f>
        <v>4.70704213696349</v>
      </c>
      <c r="P88" s="1333">
        <f>(4.56+1.075*4.56)/2</f>
        <v>4.731</v>
      </c>
      <c r="Q88" s="1333">
        <v>4.563</v>
      </c>
      <c r="R88" s="1333">
        <f>1.075*Q88</f>
        <v>4.905225</v>
      </c>
      <c r="S88" s="1333"/>
      <c r="T88" s="1193"/>
      <c r="U88" s="1193">
        <f>R88</f>
        <v>4.905225</v>
      </c>
      <c r="V88" s="1193"/>
      <c r="W88" s="1193">
        <f>U88*V84</f>
        <v>5.24859075</v>
      </c>
      <c r="X88" s="1534"/>
      <c r="Y88" s="1337">
        <f>W88</f>
        <v>5.24859075</v>
      </c>
      <c r="Z88" s="1455"/>
      <c r="AA88" s="1762">
        <f>Y88*Z84</f>
        <v>5.5740033765</v>
      </c>
      <c r="AB88" s="1455"/>
      <c r="AC88" s="1455"/>
      <c r="AD88" s="1455"/>
      <c r="AE88" s="1455"/>
    </row>
    <row r="89" spans="1:31" ht="22.5" customHeight="1">
      <c r="A89" s="1197" t="s">
        <v>1159</v>
      </c>
      <c r="B89" s="1354" t="s">
        <v>1180</v>
      </c>
      <c r="C89" s="1198"/>
      <c r="D89" s="1198">
        <v>767.0310000000001</v>
      </c>
      <c r="E89" s="1198"/>
      <c r="F89" s="1186">
        <v>167.88</v>
      </c>
      <c r="G89" s="1187">
        <v>204.6467742412363</v>
      </c>
      <c r="H89" s="1200">
        <v>102.32338712061815</v>
      </c>
      <c r="I89" s="1200">
        <v>102.32338712061815</v>
      </c>
      <c r="J89" s="1196">
        <v>214.855</v>
      </c>
      <c r="K89" s="1187"/>
      <c r="L89" s="1320">
        <v>0</v>
      </c>
      <c r="M89" s="1320">
        <v>0</v>
      </c>
      <c r="N89" s="1333">
        <v>153.832</v>
      </c>
      <c r="O89" s="1193">
        <v>220.349</v>
      </c>
      <c r="P89" s="1333">
        <f>P90*P6</f>
        <v>210.2043074610848</v>
      </c>
      <c r="Q89" s="1185">
        <f>P89/2</f>
        <v>105.1021537305424</v>
      </c>
      <c r="R89" s="1185">
        <f>P89-Q89</f>
        <v>105.1021537305424</v>
      </c>
      <c r="S89" s="1185"/>
      <c r="T89" s="1193"/>
      <c r="U89" s="1333">
        <f>U90*U6</f>
        <v>101.28909322621699</v>
      </c>
      <c r="V89" s="1193"/>
      <c r="W89" s="1333">
        <f>W90*W6</f>
        <v>101.28909322621699</v>
      </c>
      <c r="X89" s="1534"/>
      <c r="Y89" s="1333">
        <f>Y90*Y6</f>
        <v>101.28909322621699</v>
      </c>
      <c r="Z89" s="1455"/>
      <c r="AA89" s="1761">
        <f>AA90*AA6</f>
        <v>101.28909322621699</v>
      </c>
      <c r="AB89" s="1455"/>
      <c r="AC89" s="1455"/>
      <c r="AD89" s="1455"/>
      <c r="AE89" s="1455"/>
    </row>
    <row r="90" spans="1:31" ht="15.75" customHeight="1">
      <c r="A90" s="1202" t="s">
        <v>1315</v>
      </c>
      <c r="B90" s="1354"/>
      <c r="C90" s="1198"/>
      <c r="D90" s="1198">
        <v>0.36376833588640645</v>
      </c>
      <c r="E90" s="1198"/>
      <c r="F90" s="1321">
        <v>0.1151546953936064</v>
      </c>
      <c r="G90" s="1188">
        <v>0.1151546953936064</v>
      </c>
      <c r="H90" s="1201">
        <v>0.9</v>
      </c>
      <c r="I90" s="1201"/>
      <c r="J90" s="1196"/>
      <c r="K90" s="1187">
        <v>0</v>
      </c>
      <c r="L90" s="1320"/>
      <c r="M90" s="1320"/>
      <c r="N90" s="1333">
        <f>N89/N6</f>
        <v>0.13870985194135363</v>
      </c>
      <c r="O90" s="1193">
        <f>O89/O6</f>
        <v>0.16772177709311178</v>
      </c>
      <c r="P90" s="1333">
        <v>0.16</v>
      </c>
      <c r="Q90" s="1196"/>
      <c r="R90" s="1196"/>
      <c r="S90" s="1196"/>
      <c r="T90" s="1196"/>
      <c r="U90" s="1333">
        <f>P90</f>
        <v>0.16</v>
      </c>
      <c r="V90" s="1196"/>
      <c r="W90" s="1333">
        <f>P90</f>
        <v>0.16</v>
      </c>
      <c r="X90" s="1513"/>
      <c r="Y90" s="1337">
        <f>P90</f>
        <v>0.16</v>
      </c>
      <c r="Z90" s="1455"/>
      <c r="AA90" s="1754">
        <f>P90</f>
        <v>0.16</v>
      </c>
      <c r="AB90" s="1455"/>
      <c r="AC90" s="1455"/>
      <c r="AD90" s="1455"/>
      <c r="AE90" s="1455"/>
    </row>
    <row r="91" spans="1:31" ht="22.5" customHeight="1" thickBot="1">
      <c r="A91" s="1544" t="s">
        <v>1358</v>
      </c>
      <c r="B91" s="1352"/>
      <c r="C91" s="1198"/>
      <c r="D91" s="1198"/>
      <c r="E91" s="1198"/>
      <c r="F91" s="1186"/>
      <c r="G91" s="1201"/>
      <c r="H91" s="1201"/>
      <c r="I91" s="1201"/>
      <c r="J91" s="1385"/>
      <c r="K91" s="1383"/>
      <c r="L91" s="1385"/>
      <c r="M91" s="1385"/>
      <c r="N91" s="1382"/>
      <c r="O91" s="1382"/>
      <c r="P91" s="1382"/>
      <c r="Q91" s="1185"/>
      <c r="R91" s="1185"/>
      <c r="S91" s="1185"/>
      <c r="T91" s="1185"/>
      <c r="U91" s="1185"/>
      <c r="V91" s="1185"/>
      <c r="W91" s="1185"/>
      <c r="X91" s="1522"/>
      <c r="Y91" s="1455"/>
      <c r="Z91" s="1455"/>
      <c r="AA91" s="1731"/>
      <c r="AB91" s="1455"/>
      <c r="AC91" s="1455"/>
      <c r="AD91" s="1455"/>
      <c r="AE91" s="1455"/>
    </row>
    <row r="92" spans="1:31" ht="27.75" customHeight="1">
      <c r="A92" s="1216" t="s">
        <v>1165</v>
      </c>
      <c r="B92" s="1352" t="s">
        <v>1182</v>
      </c>
      <c r="C92" s="1193">
        <v>2264</v>
      </c>
      <c r="D92" s="1193">
        <v>2403.93</v>
      </c>
      <c r="E92" s="1193">
        <v>2539.3</v>
      </c>
      <c r="F92" s="1186">
        <v>2661.33</v>
      </c>
      <c r="G92" s="1187">
        <f>G94+G96</f>
        <v>2776.657853880179</v>
      </c>
      <c r="H92" s="1187">
        <v>1259.6239269400896</v>
      </c>
      <c r="I92" s="1187">
        <v>1259.6239269400896</v>
      </c>
      <c r="J92" s="1201">
        <f>J94+J96</f>
        <v>2491.0371999999998</v>
      </c>
      <c r="K92" s="1187">
        <v>2521.7213112</v>
      </c>
      <c r="L92" s="1219">
        <v>1260.8606556</v>
      </c>
      <c r="M92" s="1219">
        <v>1260.8606556</v>
      </c>
      <c r="N92" s="1253">
        <f>N94+N95+N96</f>
        <v>1293.93226</v>
      </c>
      <c r="O92" s="1201">
        <v>2777.5438435579995</v>
      </c>
      <c r="P92" s="1201">
        <f>P94+P96+P98</f>
        <v>2548.874486082859</v>
      </c>
      <c r="Q92" s="1187">
        <f>P92/2</f>
        <v>1274.4372430414296</v>
      </c>
      <c r="R92" s="1187">
        <f>P92-Q92</f>
        <v>1274.4372430414296</v>
      </c>
      <c r="S92" s="1187"/>
      <c r="T92" s="1196">
        <f>U92+W92</f>
        <v>2625.340720665345</v>
      </c>
      <c r="U92" s="1196">
        <f>R92</f>
        <v>1274.4372430414296</v>
      </c>
      <c r="V92" s="1196"/>
      <c r="W92" s="1196">
        <f>U92*(1+V17)</f>
        <v>1350.9034776239155</v>
      </c>
      <c r="X92" s="1516">
        <f>W92/U92</f>
        <v>1.06</v>
      </c>
      <c r="Y92" s="1196">
        <f>W92</f>
        <v>1350.9034776239155</v>
      </c>
      <c r="Z92" s="1455"/>
      <c r="AA92" s="1513">
        <f>Y92*(1+Z17)</f>
        <v>1418.4486515051112</v>
      </c>
      <c r="AB92" s="1455"/>
      <c r="AC92" s="1455"/>
      <c r="AD92" s="1455"/>
      <c r="AE92" s="1455"/>
    </row>
    <row r="93" spans="1:31" ht="15.75" hidden="1">
      <c r="A93" s="1203" t="s">
        <v>1166</v>
      </c>
      <c r="B93" s="1352" t="s">
        <v>1182</v>
      </c>
      <c r="C93" s="1198"/>
      <c r="D93" s="1198"/>
      <c r="E93" s="1198"/>
      <c r="F93" s="1198"/>
      <c r="G93" s="1188"/>
      <c r="H93" s="1201"/>
      <c r="I93" s="1201"/>
      <c r="J93" s="1316"/>
      <c r="K93" s="1316"/>
      <c r="L93" s="1204"/>
      <c r="M93" s="1204"/>
      <c r="N93" s="1337"/>
      <c r="O93" s="1204"/>
      <c r="P93" s="1326"/>
      <c r="Q93" s="1326"/>
      <c r="R93" s="1326"/>
      <c r="S93" s="1326"/>
      <c r="T93" s="1326"/>
      <c r="U93" s="1326"/>
      <c r="V93" s="1326"/>
      <c r="W93" s="1326"/>
      <c r="X93" s="1326"/>
      <c r="Y93" s="1455"/>
      <c r="Z93" s="1455"/>
      <c r="AA93" s="1731"/>
      <c r="AB93" s="1455"/>
      <c r="AC93" s="1455"/>
      <c r="AD93" s="1455"/>
      <c r="AE93" s="1455"/>
    </row>
    <row r="94" spans="1:31" ht="31.5">
      <c r="A94" s="1203" t="s">
        <v>1376</v>
      </c>
      <c r="B94" s="1352" t="s">
        <v>1182</v>
      </c>
      <c r="C94" s="1198">
        <v>2264</v>
      </c>
      <c r="D94" s="1198">
        <v>2403.93</v>
      </c>
      <c r="E94" s="1198">
        <v>2539.3</v>
      </c>
      <c r="F94" s="1186">
        <v>2403.93</v>
      </c>
      <c r="G94" s="1185">
        <v>2519.2478538801793</v>
      </c>
      <c r="H94" s="1200">
        <v>1259.6239269400896</v>
      </c>
      <c r="I94" s="1200">
        <v>1259.6239269400896</v>
      </c>
      <c r="J94" s="1185">
        <v>2403.9287999999997</v>
      </c>
      <c r="K94" s="1198">
        <v>2521.7213112</v>
      </c>
      <c r="L94" s="1204">
        <v>1260.8606556</v>
      </c>
      <c r="M94" s="1204">
        <v>1260.8606556</v>
      </c>
      <c r="N94" s="1335">
        <v>1183.02496</v>
      </c>
      <c r="O94" s="1185">
        <v>2680.4166709319993</v>
      </c>
      <c r="P94" s="1185">
        <f>'имуществ.комплекс'!G3</f>
        <v>2403.9287999999997</v>
      </c>
      <c r="Q94" s="1185"/>
      <c r="R94" s="1185"/>
      <c r="S94" s="1185"/>
      <c r="T94" s="1185"/>
      <c r="U94" s="1185"/>
      <c r="V94" s="1185"/>
      <c r="W94" s="1185"/>
      <c r="X94" s="1522"/>
      <c r="Y94" s="1455"/>
      <c r="Z94" s="1455"/>
      <c r="AA94" s="1731"/>
      <c r="AB94" s="1455"/>
      <c r="AC94" s="1455"/>
      <c r="AD94" s="1455"/>
      <c r="AE94" s="1455"/>
    </row>
    <row r="95" spans="1:31" ht="15.75">
      <c r="A95" s="1203" t="s">
        <v>1294</v>
      </c>
      <c r="B95" s="1352"/>
      <c r="C95" s="1198"/>
      <c r="D95" s="1198"/>
      <c r="E95" s="1198"/>
      <c r="F95" s="1186"/>
      <c r="G95" s="1185"/>
      <c r="H95" s="1200"/>
      <c r="I95" s="1200"/>
      <c r="J95" s="1185"/>
      <c r="K95" s="1198"/>
      <c r="L95" s="1204"/>
      <c r="M95" s="1204"/>
      <c r="N95" s="1335"/>
      <c r="O95" s="1327">
        <v>0.051930630642052035</v>
      </c>
      <c r="P95" s="1327"/>
      <c r="Q95" s="1327"/>
      <c r="R95" s="1327"/>
      <c r="S95" s="1327"/>
      <c r="T95" s="1327"/>
      <c r="U95" s="1327"/>
      <c r="V95" s="1327"/>
      <c r="W95" s="1327"/>
      <c r="X95" s="1535"/>
      <c r="Y95" s="1455"/>
      <c r="Z95" s="1455"/>
      <c r="AA95" s="1731"/>
      <c r="AB95" s="1455"/>
      <c r="AC95" s="1455"/>
      <c r="AD95" s="1455"/>
      <c r="AE95" s="1455"/>
    </row>
    <row r="96" spans="1:31" ht="15.75">
      <c r="A96" s="1203" t="s">
        <v>573</v>
      </c>
      <c r="B96" s="1352" t="s">
        <v>1182</v>
      </c>
      <c r="C96" s="1198"/>
      <c r="D96" s="1198"/>
      <c r="E96" s="1198"/>
      <c r="F96" s="1186">
        <v>257.41</v>
      </c>
      <c r="G96" s="1198">
        <v>257.41</v>
      </c>
      <c r="H96" s="1198"/>
      <c r="I96" s="1198"/>
      <c r="J96" s="1185">
        <v>87.10839999999999</v>
      </c>
      <c r="K96" s="1198"/>
      <c r="L96" s="1316"/>
      <c r="M96" s="1316"/>
      <c r="N96" s="1335">
        <v>110.90729999999999</v>
      </c>
      <c r="O96" s="1185">
        <v>97.12717262599999</v>
      </c>
      <c r="P96" s="1185">
        <f>'имуществ.комплекс'!G10</f>
        <v>92.9446628</v>
      </c>
      <c r="Q96" s="1185"/>
      <c r="R96" s="1185"/>
      <c r="S96" s="1185"/>
      <c r="T96" s="1185"/>
      <c r="U96" s="1185"/>
      <c r="V96" s="1185"/>
      <c r="W96" s="1185"/>
      <c r="X96" s="1522"/>
      <c r="Y96" s="1455"/>
      <c r="Z96" s="1455"/>
      <c r="AA96" s="1731"/>
      <c r="AB96" s="1455"/>
      <c r="AC96" s="1455"/>
      <c r="AD96" s="1455"/>
      <c r="AE96" s="1455"/>
    </row>
    <row r="97" spans="1:31" ht="15.75">
      <c r="A97" s="1203" t="s">
        <v>1035</v>
      </c>
      <c r="B97" s="1352" t="s">
        <v>946</v>
      </c>
      <c r="C97" s="1198"/>
      <c r="D97" s="1198"/>
      <c r="E97" s="1198"/>
      <c r="F97" s="1186"/>
      <c r="G97" s="1198"/>
      <c r="H97" s="1198"/>
      <c r="I97" s="1198"/>
      <c r="J97" s="1185"/>
      <c r="K97" s="1198"/>
      <c r="L97" s="1316"/>
      <c r="M97" s="1316"/>
      <c r="N97" s="1335">
        <f>N92/N9</f>
        <v>1.680188031973237</v>
      </c>
      <c r="O97" s="1185">
        <v>2.611613715506076</v>
      </c>
      <c r="P97" s="1185"/>
      <c r="Q97" s="1185"/>
      <c r="R97" s="1185"/>
      <c r="S97" s="1185"/>
      <c r="T97" s="1185"/>
      <c r="U97" s="1185"/>
      <c r="V97" s="1185"/>
      <c r="W97" s="1185"/>
      <c r="X97" s="1522"/>
      <c r="Y97" s="1455"/>
      <c r="Z97" s="1455"/>
      <c r="AA97" s="1731"/>
      <c r="AB97" s="1455"/>
      <c r="AC97" s="1455"/>
      <c r="AD97" s="1455"/>
      <c r="AE97" s="1455"/>
    </row>
    <row r="98" spans="1:31" ht="22.5" customHeight="1" thickBot="1">
      <c r="A98" s="1203" t="s">
        <v>1359</v>
      </c>
      <c r="B98" s="1352" t="s">
        <v>1182</v>
      </c>
      <c r="C98" s="1198"/>
      <c r="D98" s="1198">
        <v>225.48632</v>
      </c>
      <c r="E98" s="1198">
        <v>225</v>
      </c>
      <c r="F98" s="1186"/>
      <c r="G98" s="1201"/>
      <c r="H98" s="1201"/>
      <c r="I98" s="1201"/>
      <c r="J98" s="1385">
        <v>53.309540000000055</v>
      </c>
      <c r="K98" s="1383">
        <v>91.38</v>
      </c>
      <c r="L98" s="1385">
        <v>45.69</v>
      </c>
      <c r="M98" s="1385">
        <v>45.69</v>
      </c>
      <c r="N98" s="1382">
        <v>39.00076746214472</v>
      </c>
      <c r="O98" s="1382">
        <v>59.44093674310005</v>
      </c>
      <c r="P98" s="1510">
        <f>N98/9*12</f>
        <v>52.00102328285963</v>
      </c>
      <c r="Q98" s="1185"/>
      <c r="R98" s="1185"/>
      <c r="S98" s="1185"/>
      <c r="T98" s="1185"/>
      <c r="U98" s="1185"/>
      <c r="V98" s="1185"/>
      <c r="W98" s="1185"/>
      <c r="X98" s="1522"/>
      <c r="Y98" s="1455"/>
      <c r="Z98" s="1455"/>
      <c r="AA98" s="1731"/>
      <c r="AB98" s="1455"/>
      <c r="AC98" s="1455"/>
      <c r="AD98" s="1455"/>
      <c r="AE98" s="1455"/>
    </row>
    <row r="99" spans="1:31" ht="31.5">
      <c r="A99" s="1322" t="s">
        <v>629</v>
      </c>
      <c r="B99" s="1352" t="s">
        <v>1182</v>
      </c>
      <c r="C99" s="1193">
        <v>419</v>
      </c>
      <c r="D99" s="1193">
        <v>725.9272799999999</v>
      </c>
      <c r="E99" s="1193">
        <v>762.64</v>
      </c>
      <c r="F99" s="1186">
        <v>764.4</v>
      </c>
      <c r="G99" s="1196">
        <v>821.8026556735358</v>
      </c>
      <c r="H99" s="1196">
        <v>410.9013278367679</v>
      </c>
      <c r="I99" s="1196">
        <v>410.9013278367679</v>
      </c>
      <c r="J99" s="1196">
        <f>J100+J101</f>
        <v>745.726017494901</v>
      </c>
      <c r="K99" s="1201">
        <v>674.5297903872738</v>
      </c>
      <c r="L99" s="1206">
        <v>337.2648951936369</v>
      </c>
      <c r="M99" s="1206">
        <v>337.2648951936369</v>
      </c>
      <c r="N99" s="1334">
        <f>N100+N101+N107</f>
        <v>669.3460676740806</v>
      </c>
      <c r="O99" s="1206">
        <v>937.3887465080159</v>
      </c>
      <c r="P99" s="1206">
        <f>P100+P101+P102</f>
        <v>2018.5664854214197</v>
      </c>
      <c r="Q99" s="1206">
        <f>Q100+Q101+Q102</f>
        <v>1001.6845110486304</v>
      </c>
      <c r="R99" s="1206">
        <f>R100+R101+R102</f>
        <v>1016.881974372789</v>
      </c>
      <c r="S99" s="1206"/>
      <c r="T99" s="1196">
        <f>U99+W99</f>
        <v>1982.3419343590544</v>
      </c>
      <c r="U99" s="1206">
        <f>U100+U101+U102</f>
        <v>975.8078923456072</v>
      </c>
      <c r="V99" s="1196"/>
      <c r="W99" s="1206">
        <f>W100+W101+W102</f>
        <v>1006.5340420134472</v>
      </c>
      <c r="X99" s="1516">
        <f>W99/U99</f>
        <v>1.0314879085410773</v>
      </c>
      <c r="Y99" s="1206">
        <f>Y100+Y101+Y102</f>
        <v>1020.5428253328867</v>
      </c>
      <c r="Z99" s="1455"/>
      <c r="AA99" s="1519">
        <f>AA100+AA101+AA102</f>
        <v>1051.0943946048867</v>
      </c>
      <c r="AB99" s="1455"/>
      <c r="AC99" s="1455"/>
      <c r="AD99" s="1455"/>
      <c r="AE99" s="1455"/>
    </row>
    <row r="100" spans="1:31" ht="15.75">
      <c r="A100" s="1220" t="s">
        <v>1168</v>
      </c>
      <c r="B100" s="1352" t="s">
        <v>1182</v>
      </c>
      <c r="C100" s="1198">
        <v>92</v>
      </c>
      <c r="D100" s="1198">
        <v>297.71</v>
      </c>
      <c r="E100" s="1198">
        <v>452.84</v>
      </c>
      <c r="F100" s="1186">
        <v>381.64</v>
      </c>
      <c r="G100" s="1199">
        <v>423.2546556735358</v>
      </c>
      <c r="H100" s="1199">
        <v>211.6273278367679</v>
      </c>
      <c r="I100" s="1199">
        <v>211.6273278367679</v>
      </c>
      <c r="J100" s="1199">
        <f>ОХР!E36*'цеховые затраты  (2)'!D116</f>
        <v>424.02069749490107</v>
      </c>
      <c r="K100" s="1185">
        <v>355.10300360652286</v>
      </c>
      <c r="L100" s="1219">
        <v>177.55150180326143</v>
      </c>
      <c r="M100" s="1219">
        <v>177.55150180326143</v>
      </c>
      <c r="N100" s="1335">
        <f>ОХР!H47*ОХР!H36</f>
        <v>310.69606767408055</v>
      </c>
      <c r="O100" s="1185">
        <v>388.38874650801586</v>
      </c>
      <c r="P100" s="1185">
        <f>O100</f>
        <v>388.38874650801586</v>
      </c>
      <c r="Q100" s="1185">
        <f>P100/2</f>
        <v>194.19437325400793</v>
      </c>
      <c r="R100" s="1185">
        <f>P100-Q100</f>
        <v>194.19437325400793</v>
      </c>
      <c r="S100" s="1185"/>
      <c r="T100" s="1185">
        <f>P100-0.022*T105</f>
        <v>350.6563131468947</v>
      </c>
      <c r="U100" s="1185">
        <f>T100/2</f>
        <v>175.32815657344736</v>
      </c>
      <c r="V100" s="1185"/>
      <c r="W100" s="1185">
        <f>T100-U100</f>
        <v>175.32815657344736</v>
      </c>
      <c r="X100" s="1522"/>
      <c r="Y100" s="1542">
        <f>W100-0.022*Y105</f>
        <v>156.4619398928868</v>
      </c>
      <c r="Z100" s="1542"/>
      <c r="AA100" s="1762">
        <f>W100-0.022*AA105</f>
        <v>156.4619398928868</v>
      </c>
      <c r="AB100" s="1455"/>
      <c r="AC100" s="1455"/>
      <c r="AD100" s="1455"/>
      <c r="AE100" s="1455"/>
    </row>
    <row r="101" spans="1:31" ht="31.5">
      <c r="A101" s="1220" t="s">
        <v>160</v>
      </c>
      <c r="B101" s="1352" t="s">
        <v>1182</v>
      </c>
      <c r="C101" s="1198">
        <v>327</v>
      </c>
      <c r="D101" s="1198">
        <v>428.21727999999996</v>
      </c>
      <c r="E101" s="1198">
        <v>309.8</v>
      </c>
      <c r="F101" s="1186">
        <v>375.64</v>
      </c>
      <c r="G101" s="1199">
        <v>398.548</v>
      </c>
      <c r="H101" s="1199">
        <v>199.274</v>
      </c>
      <c r="I101" s="1199">
        <v>199.274</v>
      </c>
      <c r="J101" s="1199">
        <v>321.70532000000003</v>
      </c>
      <c r="K101" s="1185">
        <v>319.4267867807509</v>
      </c>
      <c r="L101" s="1219">
        <v>159.71339339037544</v>
      </c>
      <c r="M101" s="1219">
        <v>159.71339339037544</v>
      </c>
      <c r="N101" s="1335">
        <v>358.65</v>
      </c>
      <c r="O101" s="1185">
        <v>549</v>
      </c>
      <c r="P101" s="1185">
        <v>382.466</v>
      </c>
      <c r="Q101" s="1185">
        <f>P101/2</f>
        <v>191.233</v>
      </c>
      <c r="R101" s="1185">
        <f>P101-Q101</f>
        <v>191.233</v>
      </c>
      <c r="S101" s="1185"/>
      <c r="T101" s="1185">
        <f>U101+W101</f>
        <v>440.349</v>
      </c>
      <c r="U101" s="1185">
        <f>440.349/2</f>
        <v>220.1745</v>
      </c>
      <c r="V101" s="1185"/>
      <c r="W101" s="1185">
        <f>440.349/2</f>
        <v>220.1745</v>
      </c>
      <c r="X101" s="1522">
        <v>506.099</v>
      </c>
      <c r="Y101" s="1542">
        <f>X101/2</f>
        <v>253.0495</v>
      </c>
      <c r="Z101" s="1542"/>
      <c r="AA101" s="1762">
        <f>X101-Y101</f>
        <v>253.0495</v>
      </c>
      <c r="AB101" s="1455"/>
      <c r="AC101" s="1455"/>
      <c r="AD101" s="1455"/>
      <c r="AE101" s="1455"/>
    </row>
    <row r="102" spans="1:31" ht="16.5" thickBot="1">
      <c r="A102" s="1505" t="s">
        <v>1377</v>
      </c>
      <c r="B102" s="1506" t="s">
        <v>1182</v>
      </c>
      <c r="C102" s="1507">
        <v>849.2</v>
      </c>
      <c r="D102" s="1507">
        <v>750.86</v>
      </c>
      <c r="E102" s="1507"/>
      <c r="F102" s="1508"/>
      <c r="G102" s="1509">
        <v>780.3308436</v>
      </c>
      <c r="H102" s="1509">
        <v>380.46360000000004</v>
      </c>
      <c r="I102" s="1509">
        <v>399.8672436</v>
      </c>
      <c r="J102" s="1558">
        <f>'прочие прямые'!D3</f>
        <v>1030.0484296807738</v>
      </c>
      <c r="K102" s="1558">
        <v>987.4326408763293</v>
      </c>
      <c r="L102" s="1559">
        <v>438.85895150059076</v>
      </c>
      <c r="M102" s="1559">
        <v>548.5736893757385</v>
      </c>
      <c r="N102" s="1556">
        <f>'прочие прямые'!G3</f>
        <v>730.4429273015198</v>
      </c>
      <c r="O102" s="1560">
        <f>((38.28+1.064*38.28)/2)*O11*0.04</f>
        <v>1271.981315089712</v>
      </c>
      <c r="P102" s="1573">
        <f>Q102+R102</f>
        <v>1247.7117389134037</v>
      </c>
      <c r="Q102" s="1573">
        <f>0.04*32.44*Q11*1.18</f>
        <v>616.2571377946225</v>
      </c>
      <c r="R102" s="1573">
        <f>0.04*33.24*R11*1.18</f>
        <v>631.4546011187812</v>
      </c>
      <c r="S102" s="1573"/>
      <c r="T102" s="1561">
        <f>U102+W102</f>
        <v>1191.3366212121598</v>
      </c>
      <c r="U102" s="1560">
        <f>0.04*33.24*1.18*U11</f>
        <v>580.3052357721599</v>
      </c>
      <c r="V102" s="1196"/>
      <c r="W102" s="1560">
        <f>0.04*W11*35*1.18</f>
        <v>611.0313854399999</v>
      </c>
      <c r="X102" s="1562"/>
      <c r="Y102" s="1563">
        <f>W102</f>
        <v>611.0313854399999</v>
      </c>
      <c r="Z102" s="1564"/>
      <c r="AA102" s="1763">
        <f>Y102*1.05</f>
        <v>641.582954712</v>
      </c>
      <c r="AB102" s="1455"/>
      <c r="AC102" s="1455"/>
      <c r="AD102" s="1455"/>
      <c r="AE102" s="1455"/>
    </row>
    <row r="103" spans="1:31" ht="31.5" customHeight="1" hidden="1">
      <c r="A103" s="1220"/>
      <c r="B103" s="1352"/>
      <c r="C103" s="1198"/>
      <c r="D103" s="1198"/>
      <c r="E103" s="1198"/>
      <c r="F103" s="1186"/>
      <c r="G103" s="1199"/>
      <c r="H103" s="1199"/>
      <c r="I103" s="1199"/>
      <c r="J103" s="1199"/>
      <c r="K103" s="1185"/>
      <c r="L103" s="1219"/>
      <c r="M103" s="1219"/>
      <c r="N103" s="1335"/>
      <c r="O103" s="1185"/>
      <c r="P103" s="1185"/>
      <c r="Q103" s="1185"/>
      <c r="R103" s="1185"/>
      <c r="S103" s="1185"/>
      <c r="T103" s="1185"/>
      <c r="U103" s="1185"/>
      <c r="V103" s="1185"/>
      <c r="W103" s="1185"/>
      <c r="X103" s="1522"/>
      <c r="Y103" s="1542"/>
      <c r="Z103" s="1542"/>
      <c r="AA103" s="1762"/>
      <c r="AB103" s="1455"/>
      <c r="AC103" s="1455"/>
      <c r="AD103" s="1455"/>
      <c r="AE103" s="1455"/>
    </row>
    <row r="104" spans="1:31" ht="22.5" customHeight="1" hidden="1">
      <c r="A104" s="1203"/>
      <c r="B104" s="1352"/>
      <c r="C104" s="1198"/>
      <c r="D104" s="1198"/>
      <c r="E104" s="1198"/>
      <c r="F104" s="1186"/>
      <c r="G104" s="1201"/>
      <c r="H104" s="1201"/>
      <c r="I104" s="1201"/>
      <c r="J104" s="1385"/>
      <c r="K104" s="1383"/>
      <c r="L104" s="1385"/>
      <c r="M104" s="1385"/>
      <c r="N104" s="1382"/>
      <c r="O104" s="1382"/>
      <c r="P104" s="1382"/>
      <c r="Q104" s="1185"/>
      <c r="R104" s="1185"/>
      <c r="S104" s="1185"/>
      <c r="T104" s="1185"/>
      <c r="U104" s="1185"/>
      <c r="V104" s="1185"/>
      <c r="W104" s="1185"/>
      <c r="X104" s="1522"/>
      <c r="Y104" s="1455"/>
      <c r="Z104" s="1455"/>
      <c r="AA104" s="1731"/>
      <c r="AB104" s="1455"/>
      <c r="AC104" s="1455"/>
      <c r="AD104" s="1455"/>
      <c r="AE104" s="1455"/>
    </row>
    <row r="105" spans="1:31" s="1555" customFormat="1" ht="15.75">
      <c r="A105" s="1544" t="s">
        <v>1164</v>
      </c>
      <c r="B105" s="1545" t="s">
        <v>1182</v>
      </c>
      <c r="C105" s="1546">
        <v>1501</v>
      </c>
      <c r="D105" s="1546">
        <v>1591.33574</v>
      </c>
      <c r="E105" s="1546">
        <v>1560.87</v>
      </c>
      <c r="F105" s="1547">
        <v>1659.01</v>
      </c>
      <c r="G105" s="1548">
        <v>1652.2277205693802</v>
      </c>
      <c r="H105" s="1548">
        <v>826.1138602846901</v>
      </c>
      <c r="I105" s="1548">
        <v>826.1138602846901</v>
      </c>
      <c r="J105" s="1548">
        <v>1650.8791099999999</v>
      </c>
      <c r="K105" s="1548">
        <v>1639.2163039227253</v>
      </c>
      <c r="L105" s="1549">
        <v>819.6081519613626</v>
      </c>
      <c r="M105" s="1549">
        <v>819.6081519613626</v>
      </c>
      <c r="N105" s="1550">
        <v>1234.1778199999999</v>
      </c>
      <c r="O105" s="1548">
        <v>1715.1106073236883</v>
      </c>
      <c r="P105" s="1548">
        <f>O105</f>
        <v>1715.1106073236883</v>
      </c>
      <c r="Q105" s="1551">
        <f>P105/2</f>
        <v>857.5553036618442</v>
      </c>
      <c r="R105" s="1551">
        <f>P105-Q105</f>
        <v>857.5553036618442</v>
      </c>
      <c r="S105" s="1551"/>
      <c r="T105" s="1552">
        <f>U105+W105</f>
        <v>1715.1106073236883</v>
      </c>
      <c r="U105" s="1552">
        <f>R105</f>
        <v>857.5553036618442</v>
      </c>
      <c r="V105" s="1552"/>
      <c r="W105" s="1552">
        <f>U105</f>
        <v>857.5553036618442</v>
      </c>
      <c r="X105" s="1553">
        <f>W105/U105</f>
        <v>1</v>
      </c>
      <c r="Y105" s="1552">
        <f>W105</f>
        <v>857.5553036618442</v>
      </c>
      <c r="Z105" s="1554"/>
      <c r="AA105" s="1764">
        <f>Y105</f>
        <v>857.5553036618442</v>
      </c>
      <c r="AB105" s="1554"/>
      <c r="AC105" s="1554"/>
      <c r="AD105" s="1554"/>
      <c r="AE105" s="1554"/>
    </row>
    <row r="106" spans="1:31" ht="22.5" customHeight="1" hidden="1">
      <c r="A106" s="1203"/>
      <c r="B106" s="1352"/>
      <c r="C106" s="1198"/>
      <c r="D106" s="1198"/>
      <c r="E106" s="1198"/>
      <c r="F106" s="1186"/>
      <c r="G106" s="1201"/>
      <c r="H106" s="1201"/>
      <c r="I106" s="1201"/>
      <c r="J106" s="1385"/>
      <c r="K106" s="1383"/>
      <c r="L106" s="1385"/>
      <c r="M106" s="1385"/>
      <c r="N106" s="1382"/>
      <c r="O106" s="1382"/>
      <c r="P106" s="1382"/>
      <c r="Q106" s="1185"/>
      <c r="R106" s="1185"/>
      <c r="S106" s="1185"/>
      <c r="T106" s="1185"/>
      <c r="U106" s="1185"/>
      <c r="V106" s="1185"/>
      <c r="W106" s="1185"/>
      <c r="X106" s="1522">
        <f>W105/W108</f>
        <v>0.04716344176384355</v>
      </c>
      <c r="Y106" s="1455"/>
      <c r="Z106" s="1455"/>
      <c r="AA106" s="1731"/>
      <c r="AB106" s="1455"/>
      <c r="AC106" s="1455"/>
      <c r="AD106" s="1455"/>
      <c r="AE106" s="1455"/>
    </row>
    <row r="107" spans="1:31" ht="15.75" hidden="1">
      <c r="A107" s="1203" t="s">
        <v>1197</v>
      </c>
      <c r="B107" s="1352" t="s">
        <v>1182</v>
      </c>
      <c r="C107" s="1198"/>
      <c r="D107" s="1198"/>
      <c r="E107" s="1198"/>
      <c r="F107" s="1186"/>
      <c r="G107" s="1201"/>
      <c r="H107" s="1201"/>
      <c r="I107" s="1201"/>
      <c r="J107" s="1201"/>
      <c r="K107" s="1316"/>
      <c r="L107" s="1316"/>
      <c r="M107" s="1316"/>
      <c r="N107" s="1253"/>
      <c r="O107" s="1316"/>
      <c r="P107" s="1328"/>
      <c r="Q107" s="1328"/>
      <c r="R107" s="1328"/>
      <c r="S107" s="1328"/>
      <c r="T107" s="1328"/>
      <c r="U107" s="1328"/>
      <c r="V107" s="1328"/>
      <c r="W107" s="1328"/>
      <c r="X107" s="1328"/>
      <c r="Y107" s="1455"/>
      <c r="Z107" s="1455"/>
      <c r="AA107" s="1731"/>
      <c r="AB107" s="1455"/>
      <c r="AC107" s="1455"/>
      <c r="AD107" s="1455"/>
      <c r="AE107" s="1455"/>
    </row>
    <row r="108" spans="1:31" ht="28.5" customHeight="1">
      <c r="A108" s="1192" t="s">
        <v>1158</v>
      </c>
      <c r="B108" s="1357" t="s">
        <v>1182</v>
      </c>
      <c r="C108" s="1193">
        <v>27279.399999999998</v>
      </c>
      <c r="D108" s="1193">
        <v>29853.914697144624</v>
      </c>
      <c r="E108" s="1193">
        <v>28517.32</v>
      </c>
      <c r="F108" s="1188">
        <v>30310.5</v>
      </c>
      <c r="G108" s="1196">
        <v>28985.900595429295</v>
      </c>
      <c r="H108" s="1196">
        <v>14324.150250571452</v>
      </c>
      <c r="I108" s="1196">
        <v>15006.810422582435</v>
      </c>
      <c r="J108" s="1196">
        <f>J20+J105+J94+J96+J21+J26+J33+J49+J56+J63+J64+J65+J66+J73+J78+J102+J98+J99+J82</f>
        <v>31915.60800439476</v>
      </c>
      <c r="K108" s="1196">
        <f>K20+K105+K94+K96+K21+K26+K33+K49+K56+K63+K64+K65+K66+K73+K78+K102+K98+K99+K82</f>
        <v>32290.3648159067</v>
      </c>
      <c r="L108" s="1196">
        <f>L20+L105+L94+L96+L21+L26+L33+L49+L56+L63+L64+L65+L66+L73+L78+L102+L98+L99+L82</f>
        <v>13744.375703217444</v>
      </c>
      <c r="M108" s="1196">
        <f>M20+M105+M94+M96+M21+M26+M33+M49+M56+M63+M64+M65+M66+M73+M78+M102+M98+M99+M82</f>
        <v>15790.811745688568</v>
      </c>
      <c r="N108" s="1333">
        <f>N82+N20+N105+N92+N21+N26+N33+N49+N63+N64+N65+N73+N78+N80+N99</f>
        <v>24681.59135667196</v>
      </c>
      <c r="O108" s="1196">
        <v>39352.795145651064</v>
      </c>
      <c r="P108" s="1196">
        <f>P20+P21+P26+P33+P49+P62+P73+P78+P82+P92+P99+P105</f>
        <v>34465.03190666163</v>
      </c>
      <c r="Q108" s="1196">
        <f>Q20+Q21+Q26+Q33+Q49+Q62+Q73+Q78+Q82+Q92+Q99+Q105</f>
        <v>17016.526055579416</v>
      </c>
      <c r="R108" s="1196">
        <f>R20+R21+R26+R33+R49+R62+R73+R78+R82+R92+R99+R105</f>
        <v>17448.505851082213</v>
      </c>
      <c r="S108" s="1196"/>
      <c r="T108" s="1196">
        <f>T15+T82+T92+T99+T105</f>
        <v>35513.59753485971</v>
      </c>
      <c r="U108" s="1196">
        <f>U20+U21+U26+U33+U49+U62+U73+U78+U82+U92+U99+U105</f>
        <v>17330.969813248787</v>
      </c>
      <c r="V108" s="1196"/>
      <c r="W108" s="1196">
        <f>W20+W21+W26+W33+W49+W62+W73+W78+W82+W92+W99+W105</f>
        <v>18182.627721610923</v>
      </c>
      <c r="X108" s="1577">
        <f>W108/U108</f>
        <v>1.0491408107878117</v>
      </c>
      <c r="Y108" s="1196">
        <f>Y15+Y82+Y92+Y99+Y105</f>
        <v>18196.636504930368</v>
      </c>
      <c r="Z108" s="1455"/>
      <c r="AA108" s="1513">
        <f>AA15+AA82+AA92+AA99+AA105</f>
        <v>18934.853906198383</v>
      </c>
      <c r="AB108" s="1455"/>
      <c r="AC108" s="1455"/>
      <c r="AD108" s="1455"/>
      <c r="AE108" s="1455"/>
    </row>
    <row r="109" spans="1:31" s="121" customFormat="1" ht="17.25" customHeight="1">
      <c r="A109" s="1221" t="s">
        <v>1035</v>
      </c>
      <c r="B109" s="1367"/>
      <c r="C109" s="1222"/>
      <c r="D109" s="1222"/>
      <c r="E109" s="1222"/>
      <c r="F109" s="1223"/>
      <c r="G109" s="1188"/>
      <c r="H109" s="1223"/>
      <c r="I109" s="1223"/>
      <c r="J109" s="1223"/>
      <c r="K109" s="1323">
        <f>K108/K9</f>
        <v>29.408346826873135</v>
      </c>
      <c r="L109" s="1223"/>
      <c r="M109" s="1223"/>
      <c r="N109" s="1380">
        <f>N108/N9</f>
        <v>32.049370503780715</v>
      </c>
      <c r="O109" s="1224">
        <v>37.001863997304405</v>
      </c>
      <c r="P109" s="1323">
        <f>P108/P9</f>
        <v>31.388917947779262</v>
      </c>
      <c r="Q109" s="1323">
        <f>Q108/Q9</f>
        <v>30.995493726009865</v>
      </c>
      <c r="R109" s="1323">
        <f>R108/R9</f>
        <v>31.782342169548656</v>
      </c>
      <c r="S109" s="1323"/>
      <c r="T109" s="1552">
        <f>T108/T9</f>
        <v>33.3920195802179</v>
      </c>
      <c r="U109" s="1323">
        <f>U108/U9</f>
        <v>32.591239610693236</v>
      </c>
      <c r="V109" s="1323"/>
      <c r="W109" s="1323">
        <f>W108/W9</f>
        <v>34.19279954974255</v>
      </c>
      <c r="X109" s="1577">
        <f>W109/U109</f>
        <v>1.049140810787812</v>
      </c>
      <c r="Y109" s="1323">
        <f>Y108/Y9</f>
        <v>34.219143350391796</v>
      </c>
      <c r="Z109" s="1541"/>
      <c r="AA109" s="1323">
        <f>AA108/AA9</f>
        <v>35.60737611917296</v>
      </c>
      <c r="AB109" s="1541"/>
      <c r="AC109" s="1541"/>
      <c r="AD109" s="1541"/>
      <c r="AE109" s="1541"/>
    </row>
    <row r="110" spans="1:31" ht="30" customHeight="1">
      <c r="A110" s="1728" t="s">
        <v>1169</v>
      </c>
      <c r="B110" s="1357" t="s">
        <v>1182</v>
      </c>
      <c r="C110" s="1193">
        <v>1357.2</v>
      </c>
      <c r="D110" s="1193">
        <v>2724.2000000000003</v>
      </c>
      <c r="E110" s="1193">
        <v>527.19</v>
      </c>
      <c r="F110" s="1188">
        <v>1902.08</v>
      </c>
      <c r="G110" s="1196">
        <v>220.89732000000004</v>
      </c>
      <c r="H110" s="1196">
        <v>110.44866000000002</v>
      </c>
      <c r="I110" s="1196">
        <v>110.44866000000002</v>
      </c>
      <c r="J110" s="1196">
        <f>J111+J113+J114+J116+J118</f>
        <v>3165.3739013138293</v>
      </c>
      <c r="K110" s="1196">
        <f>K111+K113+K114+K116+K118</f>
        <v>0</v>
      </c>
      <c r="L110" s="1196">
        <f>L111+L113+L114+L116+L118</f>
        <v>0</v>
      </c>
      <c r="M110" s="1196">
        <f>M111+M113+M114+M116+M118</f>
        <v>0</v>
      </c>
      <c r="N110" s="1333">
        <f>N113+N114+N116+N118+N112</f>
        <v>4185.297237836266</v>
      </c>
      <c r="O110" s="1196">
        <v>11552.408827658548</v>
      </c>
      <c r="P110" s="1196"/>
      <c r="Q110" s="1196"/>
      <c r="R110" s="1196"/>
      <c r="S110" s="1196"/>
      <c r="T110" s="1196"/>
      <c r="U110" s="1196"/>
      <c r="V110" s="1196"/>
      <c r="W110" s="1568"/>
      <c r="X110" s="1513"/>
      <c r="Y110" s="1455"/>
      <c r="Z110" s="1455"/>
      <c r="AA110" s="1731"/>
      <c r="AB110" s="1455"/>
      <c r="AC110" s="1455"/>
      <c r="AD110" s="1455"/>
      <c r="AE110" s="1455"/>
    </row>
    <row r="111" spans="1:31" ht="31.5">
      <c r="A111" s="1225" t="s">
        <v>1193</v>
      </c>
      <c r="B111" s="1352" t="s">
        <v>1182</v>
      </c>
      <c r="C111" s="1193">
        <v>0</v>
      </c>
      <c r="D111" s="1193">
        <v>2724.2000000000003</v>
      </c>
      <c r="E111" s="1193"/>
      <c r="F111" s="1186"/>
      <c r="G111" s="1196"/>
      <c r="H111" s="1196"/>
      <c r="I111" s="1196"/>
      <c r="J111" s="1196">
        <f>J112</f>
        <v>1064.50984</v>
      </c>
      <c r="K111" s="1196">
        <f>K112</f>
        <v>0</v>
      </c>
      <c r="L111" s="1196">
        <f>L112</f>
        <v>0</v>
      </c>
      <c r="M111" s="1196">
        <f>M112</f>
        <v>0</v>
      </c>
      <c r="N111" s="1333"/>
      <c r="O111" s="1196">
        <v>355.11337894067793</v>
      </c>
      <c r="P111" s="1196"/>
      <c r="Q111" s="1196"/>
      <c r="R111" s="1196"/>
      <c r="S111" s="1196"/>
      <c r="T111" s="1196"/>
      <c r="U111" s="1196"/>
      <c r="V111" s="1196"/>
      <c r="W111" s="1196"/>
      <c r="X111" s="1513"/>
      <c r="Y111" s="1455"/>
      <c r="Z111" s="1455"/>
      <c r="AA111" s="1731"/>
      <c r="AB111" s="1455"/>
      <c r="AC111" s="1455"/>
      <c r="AD111" s="1455"/>
      <c r="AE111" s="1455"/>
    </row>
    <row r="112" spans="1:31" ht="34.5" customHeight="1">
      <c r="A112" s="1226" t="s">
        <v>580</v>
      </c>
      <c r="B112" s="1352" t="s">
        <v>1182</v>
      </c>
      <c r="C112" s="1198"/>
      <c r="D112" s="1198">
        <v>2075.98</v>
      </c>
      <c r="E112" s="1198"/>
      <c r="F112" s="1186">
        <v>53.55</v>
      </c>
      <c r="G112" s="1201"/>
      <c r="H112" s="1201"/>
      <c r="I112" s="1201"/>
      <c r="J112" s="1208">
        <v>1064.50984</v>
      </c>
      <c r="K112" s="1185">
        <v>0</v>
      </c>
      <c r="L112" s="1219">
        <v>0</v>
      </c>
      <c r="M112" s="1219">
        <v>0</v>
      </c>
      <c r="N112" s="1381"/>
      <c r="O112" s="1219">
        <v>355.11337894067793</v>
      </c>
      <c r="P112" s="1219"/>
      <c r="Q112" s="1219"/>
      <c r="R112" s="1219"/>
      <c r="S112" s="1219"/>
      <c r="T112" s="1219"/>
      <c r="U112" s="1219"/>
      <c r="V112" s="1219"/>
      <c r="W112" s="1219"/>
      <c r="X112" s="1514"/>
      <c r="Y112" s="1455"/>
      <c r="Z112" s="1455"/>
      <c r="AA112" s="1731"/>
      <c r="AB112" s="1455"/>
      <c r="AC112" s="1455"/>
      <c r="AD112" s="1455"/>
      <c r="AE112" s="1455"/>
    </row>
    <row r="113" spans="1:31" ht="47.25">
      <c r="A113" s="1226" t="s">
        <v>581</v>
      </c>
      <c r="B113" s="1352" t="s">
        <v>1182</v>
      </c>
      <c r="C113" s="1198"/>
      <c r="D113" s="1198">
        <v>174.65</v>
      </c>
      <c r="E113" s="1198"/>
      <c r="F113" s="1186">
        <v>648.85</v>
      </c>
      <c r="G113" s="1199">
        <v>184.08110000000002</v>
      </c>
      <c r="H113" s="1199">
        <v>92.04055000000001</v>
      </c>
      <c r="I113" s="1199">
        <v>92.04055000000001</v>
      </c>
      <c r="J113" s="1198">
        <f>прибыль!G11+прибыль!G14</f>
        <v>554.7231088876359</v>
      </c>
      <c r="K113" s="1185">
        <v>0</v>
      </c>
      <c r="L113" s="1219">
        <v>0</v>
      </c>
      <c r="M113" s="1219">
        <v>0</v>
      </c>
      <c r="N113" s="1253">
        <f>прибыль!J11+прибыль!J14</f>
        <v>383.5569864953148</v>
      </c>
      <c r="O113" s="1219">
        <v>624.4434828281784</v>
      </c>
      <c r="P113" s="1219"/>
      <c r="Q113" s="1219"/>
      <c r="R113" s="1219"/>
      <c r="S113" s="1219"/>
      <c r="T113" s="1219"/>
      <c r="U113" s="1219"/>
      <c r="V113" s="1219"/>
      <c r="W113" s="1219"/>
      <c r="X113" s="1514" t="s">
        <v>1367</v>
      </c>
      <c r="Y113" s="1455"/>
      <c r="Z113" s="1455"/>
      <c r="AA113" s="1731"/>
      <c r="AB113" s="1455"/>
      <c r="AC113" s="1455"/>
      <c r="AD113" s="1455"/>
      <c r="AE113" s="1455"/>
    </row>
    <row r="114" spans="1:31" ht="49.5" customHeight="1">
      <c r="A114" s="1227" t="s">
        <v>582</v>
      </c>
      <c r="B114" s="1352" t="s">
        <v>1182</v>
      </c>
      <c r="C114" s="1198"/>
      <c r="D114" s="1198"/>
      <c r="E114" s="1198"/>
      <c r="F114" s="1186"/>
      <c r="G114" s="1199"/>
      <c r="H114" s="1199"/>
      <c r="I114" s="1199"/>
      <c r="J114" s="1198">
        <f>прибыль!G19+прибыль!G23</f>
        <v>1546.1409524261933</v>
      </c>
      <c r="K114" s="1185">
        <v>0</v>
      </c>
      <c r="L114" s="1219">
        <v>0</v>
      </c>
      <c r="M114" s="1219">
        <v>0</v>
      </c>
      <c r="N114" s="1253">
        <f>прибыль!J19+прибыль!J23</f>
        <v>3801.7402513409506</v>
      </c>
      <c r="O114" s="1219">
        <v>10327.962750447477</v>
      </c>
      <c r="P114" s="1219"/>
      <c r="Q114" s="1219"/>
      <c r="R114" s="1219"/>
      <c r="S114" s="1219"/>
      <c r="T114" s="1219"/>
      <c r="U114" s="1219"/>
      <c r="V114" s="1219"/>
      <c r="W114" s="1219"/>
      <c r="X114" s="1514"/>
      <c r="Y114" s="1455"/>
      <c r="Z114" s="1455"/>
      <c r="AA114" s="1731"/>
      <c r="AB114" s="1455"/>
      <c r="AC114" s="1455"/>
      <c r="AD114" s="1455"/>
      <c r="AE114" s="1455"/>
    </row>
    <row r="115" spans="1:31" ht="31.5">
      <c r="A115" s="1227" t="s">
        <v>1172</v>
      </c>
      <c r="B115" s="1352" t="s">
        <v>1182</v>
      </c>
      <c r="C115" s="1193">
        <v>0</v>
      </c>
      <c r="D115" s="1193">
        <v>0</v>
      </c>
      <c r="E115" s="1193"/>
      <c r="F115" s="1186"/>
      <c r="G115" s="1195"/>
      <c r="H115" s="1195"/>
      <c r="I115" s="1195"/>
      <c r="J115" s="1195"/>
      <c r="K115" s="1185"/>
      <c r="L115" s="1316"/>
      <c r="M115" s="1316"/>
      <c r="N115" s="1343"/>
      <c r="O115" s="1316"/>
      <c r="P115" s="1316"/>
      <c r="Q115" s="1316"/>
      <c r="R115" s="1316"/>
      <c r="S115" s="1316"/>
      <c r="T115" s="1316"/>
      <c r="U115" s="1316"/>
      <c r="V115" s="1316"/>
      <c r="W115" s="1316"/>
      <c r="X115" s="1520"/>
      <c r="Y115" s="1455"/>
      <c r="Z115" s="1455"/>
      <c r="AA115" s="1731"/>
      <c r="AB115" s="1455"/>
      <c r="AC115" s="1455"/>
      <c r="AD115" s="1455"/>
      <c r="AE115" s="1455"/>
    </row>
    <row r="116" spans="1:31" ht="15.75">
      <c r="A116" s="1227" t="s">
        <v>1173</v>
      </c>
      <c r="B116" s="1352" t="s">
        <v>1182</v>
      </c>
      <c r="C116" s="1198"/>
      <c r="D116" s="1198"/>
      <c r="E116" s="1198"/>
      <c r="F116" s="1186">
        <v>110.56</v>
      </c>
      <c r="G116" s="1199">
        <v>36.81622000000001</v>
      </c>
      <c r="H116" s="1199">
        <v>18.408110000000004</v>
      </c>
      <c r="I116" s="1199">
        <v>18.408110000000004</v>
      </c>
      <c r="J116" s="1199"/>
      <c r="K116" s="1185">
        <v>0</v>
      </c>
      <c r="L116" s="1219">
        <v>0</v>
      </c>
      <c r="M116" s="1219">
        <v>0</v>
      </c>
      <c r="N116" s="1338"/>
      <c r="O116" s="1219">
        <v>244.8892154422141</v>
      </c>
      <c r="P116" s="1219"/>
      <c r="Q116" s="1219"/>
      <c r="R116" s="1219"/>
      <c r="S116" s="1219"/>
      <c r="T116" s="1219"/>
      <c r="U116" s="1219"/>
      <c r="V116" s="1219"/>
      <c r="W116" s="1219"/>
      <c r="X116" s="1514"/>
      <c r="Y116" s="1455"/>
      <c r="Z116" s="1455"/>
      <c r="AA116" s="1731"/>
      <c r="AB116" s="1455"/>
      <c r="AC116" s="1455"/>
      <c r="AD116" s="1455"/>
      <c r="AE116" s="1455"/>
    </row>
    <row r="117" spans="1:31" ht="15.75">
      <c r="A117" s="1203" t="s">
        <v>1174</v>
      </c>
      <c r="B117" s="1352" t="s">
        <v>1182</v>
      </c>
      <c r="C117" s="1198"/>
      <c r="D117" s="1198"/>
      <c r="E117" s="1198"/>
      <c r="F117" s="1198"/>
      <c r="G117" s="1201"/>
      <c r="H117" s="1201"/>
      <c r="I117" s="1201"/>
      <c r="J117" s="1201"/>
      <c r="K117" s="1316"/>
      <c r="L117" s="1316"/>
      <c r="M117" s="1316"/>
      <c r="N117" s="1253"/>
      <c r="O117" s="1316"/>
      <c r="P117" s="1316"/>
      <c r="Q117" s="1316"/>
      <c r="R117" s="1316"/>
      <c r="S117" s="1316"/>
      <c r="T117" s="1316"/>
      <c r="U117" s="1316"/>
      <c r="V117" s="1316"/>
      <c r="W117" s="1316"/>
      <c r="X117" s="1520"/>
      <c r="Y117" s="1455"/>
      <c r="Z117" s="1455"/>
      <c r="AA117" s="1731"/>
      <c r="AB117" s="1455"/>
      <c r="AC117" s="1455"/>
      <c r="AD117" s="1455"/>
      <c r="AE117" s="1455"/>
    </row>
    <row r="118" spans="1:31" ht="15.75">
      <c r="A118" s="1228" t="s">
        <v>1209</v>
      </c>
      <c r="B118" s="1352" t="s">
        <v>1182</v>
      </c>
      <c r="C118" s="1198"/>
      <c r="D118" s="1198"/>
      <c r="E118" s="1198"/>
      <c r="F118" s="1198"/>
      <c r="G118" s="1201"/>
      <c r="H118" s="1201"/>
      <c r="I118" s="1201"/>
      <c r="J118" s="1201"/>
      <c r="K118" s="1201"/>
      <c r="L118" s="1316"/>
      <c r="M118" s="1316"/>
      <c r="N118" s="1253"/>
      <c r="O118" s="1316"/>
      <c r="P118" s="1316"/>
      <c r="Q118" s="1316"/>
      <c r="R118" s="1316"/>
      <c r="S118" s="1316"/>
      <c r="T118" s="1316"/>
      <c r="U118" s="1316"/>
      <c r="V118" s="1316"/>
      <c r="W118" s="1316"/>
      <c r="X118" s="1520"/>
      <c r="Y118" s="1455"/>
      <c r="Z118" s="1455"/>
      <c r="AA118" s="1731"/>
      <c r="AB118" s="1455"/>
      <c r="AC118" s="1455"/>
      <c r="AD118" s="1455"/>
      <c r="AE118" s="1455"/>
    </row>
    <row r="119" spans="1:31" ht="30.75" customHeight="1">
      <c r="A119" s="1729" t="s">
        <v>872</v>
      </c>
      <c r="B119" s="1352" t="s">
        <v>1182</v>
      </c>
      <c r="C119" s="1198"/>
      <c r="D119" s="1198"/>
      <c r="E119" s="1198"/>
      <c r="F119" s="1198"/>
      <c r="G119" s="1201"/>
      <c r="H119" s="1201"/>
      <c r="I119" s="1201"/>
      <c r="J119" s="1201"/>
      <c r="K119" s="1201">
        <v>710.1266666666667</v>
      </c>
      <c r="L119" s="1206">
        <v>0</v>
      </c>
      <c r="M119" s="1206">
        <v>0</v>
      </c>
      <c r="N119" s="1253"/>
      <c r="O119" s="1201">
        <v>710.1266666666667</v>
      </c>
      <c r="P119" s="1201"/>
      <c r="Q119" s="1201"/>
      <c r="R119" s="1201"/>
      <c r="S119" s="1201"/>
      <c r="T119" s="1201"/>
      <c r="U119" s="1201"/>
      <c r="V119" s="1201"/>
      <c r="W119" s="1201"/>
      <c r="X119" s="1518"/>
      <c r="Y119" s="1455"/>
      <c r="Z119" s="1455"/>
      <c r="AA119" s="1731"/>
      <c r="AB119" s="1455"/>
      <c r="AC119" s="1455"/>
      <c r="AD119" s="1455"/>
      <c r="AE119" s="1455"/>
    </row>
    <row r="120" spans="1:31" ht="47.25">
      <c r="A120" s="1203" t="s">
        <v>640</v>
      </c>
      <c r="B120" s="1352" t="s">
        <v>1182</v>
      </c>
      <c r="C120" s="1198"/>
      <c r="D120" s="1198"/>
      <c r="E120" s="1198"/>
      <c r="F120" s="1198"/>
      <c r="G120" s="1201"/>
      <c r="H120" s="1201"/>
      <c r="I120" s="1201"/>
      <c r="J120" s="1201"/>
      <c r="K120" s="1201"/>
      <c r="L120" s="1316"/>
      <c r="M120" s="1316"/>
      <c r="N120" s="1253"/>
      <c r="O120" s="1206">
        <v>710.1266666666667</v>
      </c>
      <c r="P120" s="1206">
        <v>710.13</v>
      </c>
      <c r="Q120" s="1187">
        <f>P120/2</f>
        <v>355.065</v>
      </c>
      <c r="R120" s="1187">
        <f>P120-Q120</f>
        <v>355.065</v>
      </c>
      <c r="S120" s="1187"/>
      <c r="T120" s="1206">
        <f>U120+W120</f>
        <v>710.13</v>
      </c>
      <c r="U120" s="1206">
        <f>R120</f>
        <v>355.065</v>
      </c>
      <c r="V120" s="1206"/>
      <c r="W120" s="1206">
        <f>U120</f>
        <v>355.065</v>
      </c>
      <c r="X120" s="1514"/>
      <c r="Y120" s="1455"/>
      <c r="Z120" s="1455"/>
      <c r="AA120" s="1731"/>
      <c r="AB120" s="1455"/>
      <c r="AC120" s="1455"/>
      <c r="AD120" s="1455"/>
      <c r="AE120" s="1455"/>
    </row>
    <row r="121" spans="1:31" ht="31.5">
      <c r="A121" s="1192" t="s">
        <v>1175</v>
      </c>
      <c r="B121" s="1352" t="s">
        <v>1182</v>
      </c>
      <c r="C121" s="1193">
        <v>28636.6</v>
      </c>
      <c r="D121" s="1193">
        <v>32578.114697144625</v>
      </c>
      <c r="E121" s="1193">
        <v>29044.51</v>
      </c>
      <c r="F121" s="1186">
        <v>29044.78</v>
      </c>
      <c r="G121" s="1188">
        <f>G110+G108</f>
        <v>29206.797915429295</v>
      </c>
      <c r="H121" s="1196">
        <v>14434.598910571453</v>
      </c>
      <c r="I121" s="1196">
        <v>15117.259082582435</v>
      </c>
      <c r="J121" s="1201">
        <f aca="true" t="shared" si="1" ref="J121:O121">J108+J110+J119</f>
        <v>35080.981905708584</v>
      </c>
      <c r="K121" s="1201">
        <f t="shared" si="1"/>
        <v>33000.491482573365</v>
      </c>
      <c r="L121" s="1201">
        <f t="shared" si="1"/>
        <v>13744.375703217444</v>
      </c>
      <c r="M121" s="1201">
        <f t="shared" si="1"/>
        <v>15790.811745688568</v>
      </c>
      <c r="N121" s="1253">
        <f t="shared" si="1"/>
        <v>28866.888594508226</v>
      </c>
      <c r="O121" s="1201">
        <f t="shared" si="1"/>
        <v>51615.33063997627</v>
      </c>
      <c r="P121" s="1201">
        <f>P108+P120</f>
        <v>35175.161906661626</v>
      </c>
      <c r="Q121" s="1201">
        <f>Q108+Q120</f>
        <v>17371.591055579414</v>
      </c>
      <c r="R121" s="1201">
        <f>R108+R120</f>
        <v>17803.57085108221</v>
      </c>
      <c r="S121" s="1201"/>
      <c r="T121" s="1201">
        <f>T108+T120</f>
        <v>36223.72753485971</v>
      </c>
      <c r="U121" s="1201">
        <f>U120+U108</f>
        <v>17686.034813248785</v>
      </c>
      <c r="V121" s="1201"/>
      <c r="W121" s="1201">
        <f>W120+W108</f>
        <v>18537.69272161092</v>
      </c>
      <c r="X121" s="1518">
        <f>Y121+AA121</f>
        <v>37131.49041112875</v>
      </c>
      <c r="Y121" s="1201">
        <f>Y120+Y108</f>
        <v>18196.636504930368</v>
      </c>
      <c r="Z121" s="1455"/>
      <c r="AA121" s="1518">
        <f>AA120+AA108</f>
        <v>18934.853906198383</v>
      </c>
      <c r="AB121" s="1455"/>
      <c r="AC121" s="1455"/>
      <c r="AD121" s="1455"/>
      <c r="AE121" s="1455"/>
    </row>
    <row r="122" spans="1:31" ht="15.75">
      <c r="A122" s="1192" t="s">
        <v>1363</v>
      </c>
      <c r="B122" s="1352"/>
      <c r="C122" s="1193"/>
      <c r="D122" s="1193"/>
      <c r="E122" s="1193"/>
      <c r="F122" s="1186"/>
      <c r="G122" s="1188"/>
      <c r="H122" s="1196"/>
      <c r="I122" s="1196"/>
      <c r="J122" s="1201"/>
      <c r="K122" s="1201"/>
      <c r="L122" s="1201"/>
      <c r="M122" s="1201"/>
      <c r="N122" s="1253"/>
      <c r="O122" s="1201"/>
      <c r="P122" s="1683">
        <f>P121-O121</f>
        <v>-16440.168733314647</v>
      </c>
      <c r="Q122" s="1201"/>
      <c r="R122" s="1201"/>
      <c r="S122" s="1201"/>
      <c r="T122" s="1590">
        <f>U122+W122</f>
        <v>0</v>
      </c>
      <c r="U122" s="1201">
        <f>R124*U9-U121</f>
        <v>-441.29050469171125</v>
      </c>
      <c r="V122" s="1201"/>
      <c r="W122" s="1201">
        <f>-U122</f>
        <v>441.29050469171125</v>
      </c>
      <c r="X122" s="1518"/>
      <c r="Y122" s="1455">
        <f>W124*Y9-Y121</f>
        <v>782.3467213722652</v>
      </c>
      <c r="Z122" s="1455"/>
      <c r="AA122" s="1731">
        <f>-Y122</f>
        <v>-782.3467213722652</v>
      </c>
      <c r="AB122" s="1337"/>
      <c r="AC122" s="1455"/>
      <c r="AD122" s="1455"/>
      <c r="AE122" s="1455"/>
    </row>
    <row r="123" spans="1:31" ht="15.75">
      <c r="A123" s="1192" t="s">
        <v>1366</v>
      </c>
      <c r="B123" s="1352"/>
      <c r="C123" s="1193"/>
      <c r="D123" s="1193"/>
      <c r="E123" s="1193"/>
      <c r="F123" s="1186"/>
      <c r="G123" s="1188"/>
      <c r="H123" s="1196"/>
      <c r="I123" s="1196"/>
      <c r="J123" s="1201"/>
      <c r="K123" s="1201"/>
      <c r="L123" s="1201"/>
      <c r="M123" s="1201"/>
      <c r="N123" s="1253"/>
      <c r="O123" s="1201"/>
      <c r="P123" s="1201"/>
      <c r="Q123" s="1201"/>
      <c r="R123" s="1201"/>
      <c r="S123" s="1201"/>
      <c r="T123" s="1201">
        <f>T121+T122</f>
        <v>36223.72753485971</v>
      </c>
      <c r="U123" s="1201">
        <f>U121+U122</f>
        <v>17244.744308557074</v>
      </c>
      <c r="V123" s="1201"/>
      <c r="W123" s="1201">
        <f>W121+W122</f>
        <v>18978.983226302633</v>
      </c>
      <c r="X123" s="1518"/>
      <c r="Y123" s="1337">
        <f>Y121+Y122</f>
        <v>18978.983226302633</v>
      </c>
      <c r="Z123" s="1455"/>
      <c r="AA123" s="1754">
        <f>AA121+AA122</f>
        <v>18152.507184826118</v>
      </c>
      <c r="AB123" s="1455"/>
      <c r="AC123" s="1455"/>
      <c r="AD123" s="1455"/>
      <c r="AE123" s="1455"/>
    </row>
    <row r="124" spans="1:31" ht="31.5">
      <c r="A124" s="1192" t="s">
        <v>1194</v>
      </c>
      <c r="B124" s="1357" t="s">
        <v>1182</v>
      </c>
      <c r="C124" s="1206">
        <v>22.011222136817832</v>
      </c>
      <c r="D124" s="1206">
        <v>29.65587954593582</v>
      </c>
      <c r="E124" s="1206">
        <v>24.65578098471987</v>
      </c>
      <c r="F124" s="1206">
        <v>29.53</v>
      </c>
      <c r="G124" s="1206">
        <f>(25.94+27.26)/2</f>
        <v>26.6</v>
      </c>
      <c r="H124" s="1206">
        <v>26.29252989175128</v>
      </c>
      <c r="I124" s="1206">
        <v>27.535991042955256</v>
      </c>
      <c r="J124" s="1206" t="e">
        <f aca="true" t="shared" si="2" ref="J124:R124">J121/J9</f>
        <v>#DIV/0!</v>
      </c>
      <c r="K124" s="1206">
        <f t="shared" si="2"/>
        <v>30.055092424930205</v>
      </c>
      <c r="L124" s="1206">
        <f t="shared" si="2"/>
        <v>25.035292719886055</v>
      </c>
      <c r="M124" s="1206">
        <f t="shared" si="2"/>
        <v>28.76286292475149</v>
      </c>
      <c r="N124" s="1334">
        <f t="shared" si="2"/>
        <v>37.484033929873156</v>
      </c>
      <c r="O124" s="1206">
        <f t="shared" si="2"/>
        <v>47.00849785061591</v>
      </c>
      <c r="P124" s="1373">
        <f t="shared" si="2"/>
        <v>32.03566658165904</v>
      </c>
      <c r="Q124" s="1206">
        <f t="shared" si="2"/>
        <v>31.642242359889643</v>
      </c>
      <c r="R124" s="1206">
        <f t="shared" si="2"/>
        <v>32.42909080342844</v>
      </c>
      <c r="S124" s="1206"/>
      <c r="T124" s="1206"/>
      <c r="U124" s="1206">
        <f>U123/U9</f>
        <v>32.42909080342844</v>
      </c>
      <c r="V124" s="1206"/>
      <c r="W124" s="1206">
        <f>W123/W9</f>
        <v>35.6903621990561</v>
      </c>
      <c r="X124" s="1519"/>
      <c r="Y124" s="1206">
        <f>Y123/Y9</f>
        <v>35.6903621990561</v>
      </c>
      <c r="Z124" s="1455"/>
      <c r="AA124" s="1519">
        <f>AA123/AA9</f>
        <v>34.136157270508654</v>
      </c>
      <c r="AB124" s="1455"/>
      <c r="AC124" s="1455"/>
      <c r="AD124" s="1455"/>
      <c r="AE124" s="1455"/>
    </row>
    <row r="125" spans="1:27" ht="15.75">
      <c r="A125" s="1703" t="s">
        <v>1378</v>
      </c>
      <c r="B125" s="1704"/>
      <c r="C125" s="1705"/>
      <c r="D125" s="1705"/>
      <c r="E125" s="1705"/>
      <c r="F125" s="1705"/>
      <c r="G125" s="1705"/>
      <c r="H125" s="1705"/>
      <c r="I125" s="1705"/>
      <c r="J125" s="1705"/>
      <c r="K125" s="1705"/>
      <c r="L125" s="1705"/>
      <c r="M125" s="1705"/>
      <c r="N125" s="1706"/>
      <c r="O125" s="1705"/>
      <c r="P125" s="1707"/>
      <c r="Q125" s="1705">
        <f>1.18*32.44</f>
        <v>38.279199999999996</v>
      </c>
      <c r="R125" s="1705">
        <f>1.18*33.24</f>
        <v>39.2232</v>
      </c>
      <c r="S125" s="1705"/>
      <c r="T125" s="1705"/>
      <c r="U125" s="1705">
        <f>1.18*33.24</f>
        <v>39.2232</v>
      </c>
      <c r="V125" s="1705"/>
      <c r="W125" s="1705">
        <f>1.18*34.88</f>
        <v>41.1584</v>
      </c>
      <c r="X125" s="1705"/>
      <c r="Y125" s="1705">
        <f>1.18*34.88</f>
        <v>41.1584</v>
      </c>
      <c r="Z125" s="169"/>
      <c r="AA125" s="1705">
        <f>1.18*34.95</f>
        <v>41.241</v>
      </c>
    </row>
    <row r="126" spans="1:27" ht="15.75">
      <c r="A126" s="167"/>
      <c r="B126" s="45"/>
      <c r="C126" s="167"/>
      <c r="D126" s="167"/>
      <c r="E126" s="167"/>
      <c r="F126" s="167"/>
      <c r="G126" s="167"/>
      <c r="H126" s="167"/>
      <c r="I126" s="167"/>
      <c r="J126" s="167"/>
      <c r="K126" s="167"/>
      <c r="L126" s="167"/>
      <c r="M126" s="167"/>
      <c r="N126" s="1344"/>
      <c r="O126" s="1314"/>
      <c r="P126" s="1386"/>
      <c r="Q126" s="1386"/>
      <c r="R126" s="1442">
        <f>R124/Q124</f>
        <v>1.0248670253703707</v>
      </c>
      <c r="S126" s="1442"/>
      <c r="T126" s="1566"/>
      <c r="U126" s="1566"/>
      <c r="V126" s="1566"/>
      <c r="W126" s="1566">
        <f>W124/U124</f>
        <v>1.100566229728614</v>
      </c>
      <c r="X126" s="1566"/>
      <c r="Y126" s="1567"/>
      <c r="Z126" s="1567"/>
      <c r="AA126" s="1567">
        <f>AA124/Y124</f>
        <v>0.9564530917372267</v>
      </c>
    </row>
    <row r="127" spans="1:19" ht="18.75">
      <c r="A127" s="122" t="s">
        <v>1365</v>
      </c>
      <c r="P127" s="131"/>
      <c r="Q127" s="142">
        <f>37.64/1.18</f>
        <v>31.898305084745765</v>
      </c>
      <c r="R127" s="142">
        <f>39.22/1.18</f>
        <v>33.23728813559322</v>
      </c>
      <c r="S127" s="142"/>
    </row>
    <row r="128" spans="17:20" ht="18.75">
      <c r="Q128" s="1565">
        <v>32.44</v>
      </c>
      <c r="R128" s="1565">
        <v>33.24</v>
      </c>
      <c r="S128" s="1565"/>
      <c r="T128" s="150">
        <f>R128/Q128</f>
        <v>1.024660912453761</v>
      </c>
    </row>
    <row r="129" spans="16:18" ht="18.75">
      <c r="P129" s="122">
        <f>Q129+R129</f>
        <v>883.1580933383739</v>
      </c>
      <c r="Q129" s="122">
        <f>Q128*Q9-Q121</f>
        <v>437.9689444205833</v>
      </c>
      <c r="R129" s="122">
        <f>R128*R9-R121</f>
        <v>445.1891489177906</v>
      </c>
    </row>
    <row r="132" ht="18.75"/>
    <row r="133" ht="18.75"/>
    <row r="134" ht="18.75"/>
    <row r="135" ht="18.75"/>
    <row r="136" ht="18.75"/>
    <row r="137" ht="18.75"/>
    <row r="138" ht="18.75"/>
    <row r="139" ht="18.75"/>
    <row r="140" ht="18.75"/>
    <row r="141" ht="18.75"/>
    <row r="142" ht="18.75"/>
    <row r="143" ht="18.75"/>
    <row r="144" ht="18.75"/>
    <row r="145" ht="18.75"/>
    <row r="146" ht="18.75"/>
    <row r="174" ht="18.75"/>
    <row r="175" ht="18.75"/>
    <row r="176" ht="18.75"/>
    <row r="177" ht="18.75"/>
    <row r="178" ht="18.75"/>
    <row r="179" ht="18.75"/>
    <row r="180" ht="18.75"/>
    <row r="181" ht="18.75"/>
    <row r="182" ht="18.75"/>
  </sheetData>
  <sheetProtection/>
  <printOptions/>
  <pageMargins left="0.1968503937007874" right="0.1968503937007874" top="0.3937007874015748" bottom="0.2362204724409449" header="0.3937007874015748" footer="0"/>
  <pageSetup fitToHeight="1" fitToWidth="1" horizontalDpi="600" verticalDpi="600" orientation="portrait" paperSize="9" scale="44" r:id="rId3"/>
  <rowBreaks count="1" manualBreakCount="1">
    <brk id="48" max="1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7"/>
  <sheetViews>
    <sheetView zoomScale="70" zoomScaleNormal="70" zoomScalePageLayoutView="0" workbookViewId="0" topLeftCell="A1">
      <pane xSplit="1" ySplit="1" topLeftCell="J3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60" sqref="A60"/>
    </sheetView>
  </sheetViews>
  <sheetFormatPr defaultColWidth="8.8515625" defaultRowHeight="12.75"/>
  <cols>
    <col min="1" max="1" width="48.7109375" style="122" customWidth="1"/>
    <col min="2" max="2" width="15.7109375" style="126" customWidth="1"/>
    <col min="3" max="3" width="19.421875" style="122" hidden="1" customWidth="1"/>
    <col min="4" max="4" width="18.421875" style="122" hidden="1" customWidth="1"/>
    <col min="5" max="5" width="10.8515625" style="122" hidden="1" customWidth="1"/>
    <col min="6" max="6" width="25.8515625" style="122" hidden="1" customWidth="1"/>
    <col min="7" max="7" width="14.28125" style="122" hidden="1" customWidth="1"/>
    <col min="8" max="8" width="16.140625" style="122" customWidth="1"/>
    <col min="9" max="9" width="13.8515625" style="122" customWidth="1"/>
    <col min="10" max="10" width="14.00390625" style="122" customWidth="1"/>
    <col min="11" max="11" width="14.8515625" style="122" customWidth="1"/>
    <col min="12" max="13" width="20.7109375" style="122" customWidth="1"/>
    <col min="14" max="14" width="15.00390625" style="122" customWidth="1"/>
    <col min="15" max="16" width="12.7109375" style="122" customWidth="1"/>
    <col min="17" max="17" width="18.28125" style="122" customWidth="1"/>
    <col min="18" max="18" width="17.00390625" style="45" customWidth="1"/>
    <col min="19" max="19" width="10.28125" style="45" customWidth="1"/>
    <col min="20" max="20" width="13.00390625" style="45" customWidth="1"/>
    <col min="21" max="21" width="17.8515625" style="45" customWidth="1"/>
    <col min="22" max="22" width="14.28125" style="45" customWidth="1"/>
    <col min="23" max="23" width="11.00390625" style="45" customWidth="1"/>
    <col min="24" max="24" width="13.421875" style="45" customWidth="1"/>
    <col min="25" max="25" width="28.28125" style="45" customWidth="1"/>
    <col min="26" max="16384" width="8.8515625" style="45" customWidth="1"/>
  </cols>
  <sheetData>
    <row r="1" spans="1:28" s="167" customFormat="1" ht="90.75" customHeight="1">
      <c r="A1" s="1689" t="s">
        <v>1389</v>
      </c>
      <c r="B1" s="1690" t="s">
        <v>171</v>
      </c>
      <c r="C1" s="1691" t="s">
        <v>1230</v>
      </c>
      <c r="D1" s="1691" t="s">
        <v>169</v>
      </c>
      <c r="E1" s="1691" t="s">
        <v>1072</v>
      </c>
      <c r="F1" s="1692" t="s">
        <v>1075</v>
      </c>
      <c r="G1" s="1693" t="s">
        <v>277</v>
      </c>
      <c r="H1" s="1693" t="s">
        <v>1066</v>
      </c>
      <c r="I1" s="1694" t="s">
        <v>172</v>
      </c>
      <c r="J1" s="1694" t="s">
        <v>173</v>
      </c>
      <c r="K1" s="1694" t="s">
        <v>1388</v>
      </c>
      <c r="L1" s="1693" t="s">
        <v>59</v>
      </c>
      <c r="M1" s="1183" t="s">
        <v>1354</v>
      </c>
      <c r="N1" s="1183" t="s">
        <v>1296</v>
      </c>
      <c r="O1" s="1183" t="s">
        <v>1297</v>
      </c>
      <c r="P1" s="1183" t="s">
        <v>1413</v>
      </c>
      <c r="Q1" s="1183" t="s">
        <v>1411</v>
      </c>
      <c r="R1" s="1183" t="s">
        <v>1296</v>
      </c>
      <c r="S1" s="1194"/>
      <c r="T1" s="1183" t="s">
        <v>1297</v>
      </c>
      <c r="U1" s="1183" t="s">
        <v>1412</v>
      </c>
      <c r="V1" s="1183" t="s">
        <v>1296</v>
      </c>
      <c r="W1" s="1194"/>
      <c r="X1" s="1730" t="s">
        <v>1297</v>
      </c>
      <c r="Y1" s="1183" t="s">
        <v>1412</v>
      </c>
      <c r="Z1" s="1183" t="s">
        <v>1296</v>
      </c>
      <c r="AA1" s="1194"/>
      <c r="AB1" s="1183" t="s">
        <v>1297</v>
      </c>
    </row>
    <row r="2" spans="1:28" ht="18.75">
      <c r="A2" s="1159" t="s">
        <v>1369</v>
      </c>
      <c r="B2" s="155"/>
      <c r="C2" s="144" t="s">
        <v>1227</v>
      </c>
      <c r="D2" s="144" t="s">
        <v>1227</v>
      </c>
      <c r="E2" s="144" t="s">
        <v>1227</v>
      </c>
      <c r="F2" s="144" t="s">
        <v>1227</v>
      </c>
      <c r="G2" s="144" t="s">
        <v>1227</v>
      </c>
      <c r="H2" s="144" t="s">
        <v>1227</v>
      </c>
      <c r="I2" s="144" t="s">
        <v>1227</v>
      </c>
      <c r="J2" s="144" t="s">
        <v>1227</v>
      </c>
      <c r="K2" s="144" t="s">
        <v>1227</v>
      </c>
      <c r="L2" s="144" t="s">
        <v>1227</v>
      </c>
      <c r="M2" s="1395">
        <f>M3/H3</f>
        <v>0.9485979098690123</v>
      </c>
      <c r="N2" s="1395"/>
      <c r="O2" s="1395"/>
      <c r="P2" s="1395"/>
      <c r="Q2" s="1395"/>
      <c r="R2" s="1455"/>
      <c r="S2" s="1455"/>
      <c r="T2" s="1455"/>
      <c r="U2" s="1455"/>
      <c r="V2" s="1455"/>
      <c r="W2" s="1455"/>
      <c r="X2" s="1731"/>
      <c r="Y2" s="1455"/>
      <c r="Z2" s="1455"/>
      <c r="AA2" s="1455"/>
      <c r="AB2" s="1455"/>
    </row>
    <row r="3" spans="1:28" ht="24.75" customHeight="1">
      <c r="A3" s="1160" t="s">
        <v>1210</v>
      </c>
      <c r="B3" s="123" t="s">
        <v>1176</v>
      </c>
      <c r="C3" s="124">
        <v>1185</v>
      </c>
      <c r="D3" s="124">
        <v>1120</v>
      </c>
      <c r="E3" s="153">
        <v>994.61</v>
      </c>
      <c r="F3" s="125">
        <v>1113</v>
      </c>
      <c r="G3" s="125">
        <v>942.677409</v>
      </c>
      <c r="H3" s="125">
        <v>1057.35</v>
      </c>
      <c r="I3" s="124">
        <v>528.675</v>
      </c>
      <c r="J3" s="124">
        <v>528.675</v>
      </c>
      <c r="K3" s="125">
        <v>682.4893000000001</v>
      </c>
      <c r="L3" s="125">
        <v>895.54353855</v>
      </c>
      <c r="M3" s="125">
        <v>1003</v>
      </c>
      <c r="N3" s="124">
        <f>M3/2</f>
        <v>501.5</v>
      </c>
      <c r="O3" s="124">
        <f>M3-N3</f>
        <v>501.5</v>
      </c>
      <c r="P3" s="124"/>
      <c r="Q3" s="125">
        <v>1003</v>
      </c>
      <c r="R3" s="1670">
        <v>501.5</v>
      </c>
      <c r="S3" s="1670"/>
      <c r="T3" s="1219">
        <f>Q3-R3</f>
        <v>501.5</v>
      </c>
      <c r="U3" s="1670">
        <v>1003</v>
      </c>
      <c r="V3" s="1670">
        <v>501.5</v>
      </c>
      <c r="W3" s="1670"/>
      <c r="X3" s="1514">
        <f>U3-V3</f>
        <v>501.5</v>
      </c>
      <c r="Y3" s="1455"/>
      <c r="Z3" s="1455"/>
      <c r="AA3" s="1455"/>
      <c r="AB3" s="1455"/>
    </row>
    <row r="4" spans="1:28" ht="18" customHeight="1">
      <c r="A4" s="1161" t="s">
        <v>1076</v>
      </c>
      <c r="B4" s="123" t="s">
        <v>1176</v>
      </c>
      <c r="C4" s="124"/>
      <c r="D4" s="124"/>
      <c r="E4" s="124"/>
      <c r="F4" s="125"/>
      <c r="G4" s="125"/>
      <c r="H4" s="639"/>
      <c r="I4" s="639"/>
      <c r="J4" s="639"/>
      <c r="K4" s="639"/>
      <c r="L4" s="129"/>
      <c r="M4" s="138"/>
      <c r="N4" s="138"/>
      <c r="O4" s="138"/>
      <c r="P4" s="138"/>
      <c r="Q4" s="138"/>
      <c r="R4" s="1670"/>
      <c r="S4" s="1670"/>
      <c r="T4" s="1670"/>
      <c r="U4" s="1670"/>
      <c r="V4" s="1670"/>
      <c r="W4" s="1670"/>
      <c r="X4" s="1732"/>
      <c r="Y4" s="1455"/>
      <c r="Z4" s="1455"/>
      <c r="AA4" s="1455"/>
      <c r="AB4" s="1455"/>
    </row>
    <row r="5" spans="1:28" ht="26.25" customHeight="1">
      <c r="A5" s="1160" t="s">
        <v>1207</v>
      </c>
      <c r="B5" s="123" t="s">
        <v>1176</v>
      </c>
      <c r="C5" s="124">
        <v>1185</v>
      </c>
      <c r="D5" s="124">
        <v>1120</v>
      </c>
      <c r="E5" s="153">
        <v>994.61</v>
      </c>
      <c r="F5" s="125">
        <v>1113</v>
      </c>
      <c r="G5" s="125">
        <v>942.677409</v>
      </c>
      <c r="H5" s="125">
        <v>1057.35</v>
      </c>
      <c r="I5" s="124">
        <v>528.675</v>
      </c>
      <c r="J5" s="124">
        <v>528.675</v>
      </c>
      <c r="K5" s="125">
        <v>682.4893000000001</v>
      </c>
      <c r="L5" s="125">
        <v>895.54353855</v>
      </c>
      <c r="M5" s="125">
        <f>M3</f>
        <v>1003</v>
      </c>
      <c r="N5" s="124">
        <f>M5/2</f>
        <v>501.5</v>
      </c>
      <c r="O5" s="124">
        <f>M5-N5</f>
        <v>501.5</v>
      </c>
      <c r="P5" s="124"/>
      <c r="Q5" s="125">
        <v>1003</v>
      </c>
      <c r="R5" s="1670">
        <v>501.5</v>
      </c>
      <c r="S5" s="1670"/>
      <c r="T5" s="1219">
        <f>Q5-R5</f>
        <v>501.5</v>
      </c>
      <c r="U5" s="1670">
        <v>1003</v>
      </c>
      <c r="V5" s="1670">
        <v>501.5</v>
      </c>
      <c r="W5" s="1670"/>
      <c r="X5" s="1514">
        <f>U5-V5</f>
        <v>501.5</v>
      </c>
      <c r="Y5" s="1455"/>
      <c r="Z5" s="1455"/>
      <c r="AA5" s="1455"/>
      <c r="AB5" s="1455"/>
    </row>
    <row r="6" spans="1:28" s="1592" customFormat="1" ht="37.5">
      <c r="A6" s="1162" t="s">
        <v>1211</v>
      </c>
      <c r="B6" s="1591" t="s">
        <v>1176</v>
      </c>
      <c r="C6" s="125">
        <v>1185</v>
      </c>
      <c r="D6" s="125">
        <v>1120</v>
      </c>
      <c r="E6" s="151">
        <v>994.61</v>
      </c>
      <c r="F6" s="125">
        <v>1113</v>
      </c>
      <c r="G6" s="125">
        <v>942.677409</v>
      </c>
      <c r="H6" s="125">
        <v>1057.35</v>
      </c>
      <c r="I6" s="125">
        <v>528.675</v>
      </c>
      <c r="J6" s="125">
        <v>528.675</v>
      </c>
      <c r="K6" s="1582">
        <v>682.4893000000001</v>
      </c>
      <c r="L6" s="1582">
        <v>895.54353855</v>
      </c>
      <c r="M6" s="1582">
        <f>M3</f>
        <v>1003</v>
      </c>
      <c r="N6" s="1582">
        <f>M6/2</f>
        <v>501.5</v>
      </c>
      <c r="O6" s="1582">
        <f>M6-N6</f>
        <v>501.5</v>
      </c>
      <c r="P6" s="1582"/>
      <c r="Q6" s="1582">
        <v>1003</v>
      </c>
      <c r="R6" s="1671">
        <v>501.5</v>
      </c>
      <c r="S6" s="1671"/>
      <c r="T6" s="1672">
        <f>Q6-R6</f>
        <v>501.5</v>
      </c>
      <c r="U6" s="1671">
        <v>1003</v>
      </c>
      <c r="V6" s="1671">
        <v>501.5</v>
      </c>
      <c r="W6" s="1671"/>
      <c r="X6" s="1733">
        <f>U6-V6</f>
        <v>501.5</v>
      </c>
      <c r="Y6" s="1752"/>
      <c r="Z6" s="1752"/>
      <c r="AA6" s="1752"/>
      <c r="AB6" s="1752"/>
    </row>
    <row r="7" spans="1:28" ht="17.25" customHeight="1">
      <c r="A7" s="1396"/>
      <c r="B7" s="123"/>
      <c r="C7" s="124"/>
      <c r="D7" s="124"/>
      <c r="E7" s="153"/>
      <c r="F7" s="124"/>
      <c r="G7" s="124"/>
      <c r="H7" s="124"/>
      <c r="I7" s="124"/>
      <c r="J7" s="124"/>
      <c r="K7" s="124"/>
      <c r="L7" s="124">
        <f>L6/G6</f>
        <v>0.95</v>
      </c>
      <c r="M7" s="124"/>
      <c r="N7" s="124"/>
      <c r="O7" s="124"/>
      <c r="P7" s="124"/>
      <c r="Q7" s="124"/>
      <c r="R7" s="1455"/>
      <c r="S7" s="1455"/>
      <c r="T7" s="1455"/>
      <c r="U7" s="1455"/>
      <c r="V7" s="1455"/>
      <c r="W7" s="1455"/>
      <c r="X7" s="1731"/>
      <c r="Y7" s="1455"/>
      <c r="Z7" s="1455"/>
      <c r="AA7" s="1455"/>
      <c r="AB7" s="1455"/>
    </row>
    <row r="8" spans="1:28" ht="19.5" customHeight="1">
      <c r="A8" s="1272" t="s">
        <v>1208</v>
      </c>
      <c r="B8" s="123" t="s">
        <v>1176</v>
      </c>
      <c r="C8" s="124">
        <v>850</v>
      </c>
      <c r="D8" s="124">
        <v>760</v>
      </c>
      <c r="E8" s="153">
        <v>696.44</v>
      </c>
      <c r="F8" s="124">
        <v>750</v>
      </c>
      <c r="G8" s="124">
        <v>634.398539</v>
      </c>
      <c r="H8" s="124">
        <v>662.57</v>
      </c>
      <c r="I8" s="124">
        <v>331.285</v>
      </c>
      <c r="J8" s="124">
        <v>331.285</v>
      </c>
      <c r="K8" s="124">
        <v>444.86078999999995</v>
      </c>
      <c r="L8" s="124">
        <v>602.67861205</v>
      </c>
      <c r="M8" s="124">
        <f>M6-M9-M10</f>
        <v>662.971925237541</v>
      </c>
      <c r="N8" s="124">
        <f>M8/2</f>
        <v>331.4859626187705</v>
      </c>
      <c r="O8" s="124">
        <f>M8-N8</f>
        <v>331.4859626187705</v>
      </c>
      <c r="P8" s="124"/>
      <c r="Q8" s="124">
        <v>679.2119611247215</v>
      </c>
      <c r="R8" s="124">
        <f>Q8/2</f>
        <v>339.60598056236074</v>
      </c>
      <c r="S8" s="129"/>
      <c r="T8" s="138">
        <f>Q8-R8</f>
        <v>339.60598056236074</v>
      </c>
      <c r="U8" s="124">
        <v>679.2119611247215</v>
      </c>
      <c r="V8" s="124">
        <f>U8/2</f>
        <v>339.60598056236074</v>
      </c>
      <c r="W8" s="129"/>
      <c r="X8" s="1734">
        <f>U8-V8</f>
        <v>339.60598056236074</v>
      </c>
      <c r="Y8" s="1455"/>
      <c r="Z8" s="1455"/>
      <c r="AA8" s="1455"/>
      <c r="AB8" s="1455"/>
    </row>
    <row r="9" spans="1:28" ht="24" customHeight="1">
      <c r="A9" s="1272" t="s">
        <v>1178</v>
      </c>
      <c r="B9" s="123" t="s">
        <v>1176</v>
      </c>
      <c r="C9" s="124">
        <v>280</v>
      </c>
      <c r="D9" s="124">
        <v>307</v>
      </c>
      <c r="E9" s="153">
        <v>238.27</v>
      </c>
      <c r="F9" s="124">
        <f>313</f>
        <v>313</v>
      </c>
      <c r="G9" s="124">
        <v>308.27887</v>
      </c>
      <c r="H9" s="124">
        <v>313</v>
      </c>
      <c r="I9" s="124">
        <f>H9/2</f>
        <v>156.5</v>
      </c>
      <c r="J9" s="124">
        <f>H9-I9</f>
        <v>156.5</v>
      </c>
      <c r="K9" s="124">
        <v>38.65147</v>
      </c>
      <c r="L9" s="124">
        <v>292.8649265</v>
      </c>
      <c r="M9" s="124">
        <f>'водоснабжение '!P12</f>
        <v>46.97846269457705</v>
      </c>
      <c r="N9" s="124">
        <f>M9/2</f>
        <v>23.489231347288523</v>
      </c>
      <c r="O9" s="124">
        <f>M9-N9</f>
        <v>23.489231347288523</v>
      </c>
      <c r="P9" s="124"/>
      <c r="Q9" s="124">
        <v>42.37712</v>
      </c>
      <c r="R9" s="124">
        <f>Q9/2</f>
        <v>21.18856</v>
      </c>
      <c r="S9" s="129"/>
      <c r="T9" s="138">
        <f>Q9-R9</f>
        <v>21.18856</v>
      </c>
      <c r="U9" s="124">
        <v>42.37712</v>
      </c>
      <c r="V9" s="124">
        <f>U9/2</f>
        <v>21.18856</v>
      </c>
      <c r="W9" s="129"/>
      <c r="X9" s="1734">
        <f>U9-V9</f>
        <v>21.18856</v>
      </c>
      <c r="Y9" s="1455"/>
      <c r="Z9" s="1455"/>
      <c r="AA9" s="1455"/>
      <c r="AB9" s="1455"/>
    </row>
    <row r="10" spans="1:28" ht="22.5" customHeight="1">
      <c r="A10" s="1272" t="s">
        <v>1179</v>
      </c>
      <c r="B10" s="123" t="s">
        <v>1176</v>
      </c>
      <c r="C10" s="124">
        <f>C6-C8-C9</f>
        <v>55</v>
      </c>
      <c r="D10" s="124">
        <f>D6-D8-D9</f>
        <v>53</v>
      </c>
      <c r="E10" s="124">
        <f>E6-E8-E9</f>
        <v>59.89999999999995</v>
      </c>
      <c r="F10" s="124">
        <f>F6-F8-F9</f>
        <v>50</v>
      </c>
      <c r="G10" s="125"/>
      <c r="H10" s="124">
        <f>H6-H8-H9</f>
        <v>81.77999999999986</v>
      </c>
      <c r="I10" s="124">
        <f>I6-I8-I9</f>
        <v>40.88999999999993</v>
      </c>
      <c r="J10" s="124">
        <f>J6-J8-J9</f>
        <v>40.88999999999993</v>
      </c>
      <c r="K10" s="124">
        <f>K6-K8-K9</f>
        <v>198.9770400000001</v>
      </c>
      <c r="L10" s="138">
        <f>L6-L8-L9</f>
        <v>0</v>
      </c>
      <c r="M10" s="146">
        <f>'водоснабжение '!P13</f>
        <v>293.049612067882</v>
      </c>
      <c r="N10" s="124">
        <f>M10/2</f>
        <v>146.524806033941</v>
      </c>
      <c r="O10" s="124">
        <f>M10-N10</f>
        <v>146.524806033941</v>
      </c>
      <c r="P10" s="124"/>
      <c r="Q10" s="1594">
        <v>281.4109188752785</v>
      </c>
      <c r="R10" s="124">
        <f>Q10/2</f>
        <v>140.70545943763926</v>
      </c>
      <c r="S10" s="129"/>
      <c r="T10" s="138">
        <f>Q10-R10</f>
        <v>140.70545943763926</v>
      </c>
      <c r="U10" s="1594">
        <v>281.4109188752785</v>
      </c>
      <c r="V10" s="124">
        <f>U10/2</f>
        <v>140.70545943763926</v>
      </c>
      <c r="W10" s="129"/>
      <c r="X10" s="1734">
        <f>U10-V10</f>
        <v>140.70545943763926</v>
      </c>
      <c r="Y10" s="1455"/>
      <c r="Z10" s="1455"/>
      <c r="AA10" s="1455"/>
      <c r="AB10" s="1455"/>
    </row>
    <row r="11" spans="1:28" ht="21.75" customHeight="1" thickBot="1">
      <c r="A11" s="1630" t="s">
        <v>1158</v>
      </c>
      <c r="B11" s="147"/>
      <c r="C11" s="148"/>
      <c r="D11" s="148"/>
      <c r="E11" s="1631"/>
      <c r="F11" s="164"/>
      <c r="G11" s="164"/>
      <c r="H11" s="1632"/>
      <c r="I11" s="1632"/>
      <c r="J11" s="1632"/>
      <c r="K11" s="1632"/>
      <c r="L11" s="1632"/>
      <c r="M11" s="1633"/>
      <c r="N11" s="1633"/>
      <c r="O11" s="1633"/>
      <c r="P11" s="1633"/>
      <c r="Q11" s="1633"/>
      <c r="R11" s="1634"/>
      <c r="S11" s="1634"/>
      <c r="T11" s="1634"/>
      <c r="U11" s="1634"/>
      <c r="V11" s="1634"/>
      <c r="W11" s="1634"/>
      <c r="X11" s="1735"/>
      <c r="Y11" s="1455"/>
      <c r="Z11" s="1455"/>
      <c r="AA11" s="1455"/>
      <c r="AB11" s="1455"/>
    </row>
    <row r="12" spans="1:28" ht="21.75" customHeight="1">
      <c r="A12" s="1478" t="s">
        <v>1355</v>
      </c>
      <c r="B12" s="1643"/>
      <c r="C12" s="1644"/>
      <c r="D12" s="1644"/>
      <c r="E12" s="1645"/>
      <c r="F12" s="1646"/>
      <c r="G12" s="1646"/>
      <c r="H12" s="1647"/>
      <c r="I12" s="1647"/>
      <c r="J12" s="1647"/>
      <c r="K12" s="1647"/>
      <c r="L12" s="1647"/>
      <c r="M12" s="1648"/>
      <c r="N12" s="1648"/>
      <c r="O12" s="1649">
        <f>O17+O18+O22+O29+O44+O52+O54+O58</f>
        <v>11549.36797908413</v>
      </c>
      <c r="P12" s="1649"/>
      <c r="Q12" s="1673">
        <f>R12+T12</f>
        <v>23669.27473633502</v>
      </c>
      <c r="R12" s="1650">
        <f>O12</f>
        <v>11549.36797908413</v>
      </c>
      <c r="S12" s="1651"/>
      <c r="T12" s="1557">
        <f>R12*S16</f>
        <v>12119.906757250888</v>
      </c>
      <c r="U12" s="1673">
        <f>V12+X12</f>
        <v>24718.549831413187</v>
      </c>
      <c r="V12" s="1557">
        <f>T12</f>
        <v>12119.906757250888</v>
      </c>
      <c r="W12" s="1651"/>
      <c r="X12" s="1736">
        <f>V12*W16</f>
        <v>12598.643074162299</v>
      </c>
      <c r="Y12" s="1455"/>
      <c r="Z12" s="1455"/>
      <c r="AA12" s="1455"/>
      <c r="AB12" s="1455"/>
    </row>
    <row r="13" spans="1:28" ht="21.75" customHeight="1">
      <c r="A13" s="1486" t="s">
        <v>1356</v>
      </c>
      <c r="B13" s="127"/>
      <c r="C13" s="128"/>
      <c r="D13" s="128"/>
      <c r="E13" s="153"/>
      <c r="F13" s="130"/>
      <c r="G13" s="130"/>
      <c r="H13" s="129"/>
      <c r="I13" s="129"/>
      <c r="J13" s="129"/>
      <c r="K13" s="129"/>
      <c r="L13" s="129"/>
      <c r="M13" s="138"/>
      <c r="N13" s="138"/>
      <c r="O13" s="138"/>
      <c r="P13" s="138"/>
      <c r="Q13" s="138"/>
      <c r="R13" s="1455"/>
      <c r="S13" s="1459">
        <v>0.01</v>
      </c>
      <c r="T13" s="1455"/>
      <c r="U13" s="1455"/>
      <c r="V13" s="1455"/>
      <c r="W13" s="1536">
        <v>0.01</v>
      </c>
      <c r="X13" s="1731"/>
      <c r="Y13" s="1455"/>
      <c r="Z13" s="1455"/>
      <c r="AA13" s="1455"/>
      <c r="AB13" s="1455"/>
    </row>
    <row r="14" spans="1:28" ht="21.75" customHeight="1">
      <c r="A14" s="1486" t="s">
        <v>1361</v>
      </c>
      <c r="B14" s="127"/>
      <c r="C14" s="128"/>
      <c r="D14" s="128"/>
      <c r="E14" s="153"/>
      <c r="F14" s="130"/>
      <c r="G14" s="130"/>
      <c r="H14" s="129"/>
      <c r="I14" s="129"/>
      <c r="J14" s="129"/>
      <c r="K14" s="129"/>
      <c r="L14" s="129"/>
      <c r="M14" s="138"/>
      <c r="N14" s="138"/>
      <c r="O14" s="138"/>
      <c r="P14" s="138"/>
      <c r="Q14" s="138"/>
      <c r="R14" s="1455"/>
      <c r="S14" s="1459">
        <v>0.06</v>
      </c>
      <c r="T14" s="1455"/>
      <c r="U14" s="1455"/>
      <c r="V14" s="1455"/>
      <c r="W14" s="1536">
        <v>0.05</v>
      </c>
      <c r="X14" s="1731"/>
      <c r="Y14" s="1455"/>
      <c r="Z14" s="1455"/>
      <c r="AA14" s="1455"/>
      <c r="AB14" s="1455"/>
    </row>
    <row r="15" spans="1:28" ht="21.75" customHeight="1">
      <c r="A15" s="1488" t="s">
        <v>1357</v>
      </c>
      <c r="B15" s="127"/>
      <c r="C15" s="128"/>
      <c r="D15" s="128"/>
      <c r="E15" s="153"/>
      <c r="F15" s="130"/>
      <c r="G15" s="130"/>
      <c r="H15" s="129"/>
      <c r="I15" s="129"/>
      <c r="J15" s="129"/>
      <c r="K15" s="129"/>
      <c r="L15" s="129"/>
      <c r="M15" s="138"/>
      <c r="N15" s="138"/>
      <c r="O15" s="138"/>
      <c r="P15" s="138"/>
      <c r="Q15" s="138"/>
      <c r="R15" s="1455"/>
      <c r="S15" s="1460">
        <v>0</v>
      </c>
      <c r="T15" s="1455"/>
      <c r="U15" s="1455"/>
      <c r="V15" s="1455"/>
      <c r="W15" s="1537">
        <v>0</v>
      </c>
      <c r="X15" s="1731"/>
      <c r="Y15" s="1455"/>
      <c r="Z15" s="1455"/>
      <c r="AA15" s="1455"/>
      <c r="AB15" s="1455"/>
    </row>
    <row r="16" spans="1:28" ht="21.75" customHeight="1">
      <c r="A16" s="1488" t="s">
        <v>1362</v>
      </c>
      <c r="B16" s="127"/>
      <c r="C16" s="128"/>
      <c r="D16" s="128"/>
      <c r="E16" s="153"/>
      <c r="F16" s="130"/>
      <c r="G16" s="130"/>
      <c r="H16" s="129"/>
      <c r="I16" s="129"/>
      <c r="J16" s="129"/>
      <c r="K16" s="129"/>
      <c r="L16" s="129"/>
      <c r="M16" s="138"/>
      <c r="N16" s="138"/>
      <c r="O16" s="138"/>
      <c r="P16" s="138"/>
      <c r="Q16" s="138"/>
      <c r="R16" s="1455"/>
      <c r="S16" s="1457">
        <f>(1-S13)*(1+S14)*(1+S15)</f>
        <v>1.0494</v>
      </c>
      <c r="T16" s="1455"/>
      <c r="U16" s="1455"/>
      <c r="V16" s="1455"/>
      <c r="W16" s="1445">
        <f>(1-W13)*(1+W14)*(1+W15)</f>
        <v>1.0395</v>
      </c>
      <c r="X16" s="1731"/>
      <c r="Y16" s="1455"/>
      <c r="Z16" s="1455"/>
      <c r="AA16" s="1455"/>
      <c r="AB16" s="1455"/>
    </row>
    <row r="17" spans="1:28" ht="18.75">
      <c r="A17" s="1174" t="s">
        <v>1163</v>
      </c>
      <c r="B17" s="637" t="s">
        <v>1182</v>
      </c>
      <c r="C17" s="135">
        <v>464.12</v>
      </c>
      <c r="D17" s="135">
        <v>120</v>
      </c>
      <c r="E17" s="153">
        <v>602.42</v>
      </c>
      <c r="F17" s="137">
        <v>720.0422883898306</v>
      </c>
      <c r="G17" s="137">
        <v>590.01996</v>
      </c>
      <c r="H17" s="137">
        <v>677.4487023325944</v>
      </c>
      <c r="I17" s="137">
        <v>338.7243511662972</v>
      </c>
      <c r="J17" s="137">
        <v>338.7243511662972</v>
      </c>
      <c r="K17" s="137">
        <v>505.69282999999996</v>
      </c>
      <c r="L17" s="137">
        <v>624.9870504144299</v>
      </c>
      <c r="M17" s="137">
        <f>L17</f>
        <v>624.9870504144299</v>
      </c>
      <c r="N17" s="124">
        <f>M17/2</f>
        <v>312.49352520721493</v>
      </c>
      <c r="O17" s="124">
        <f>M17-N17</f>
        <v>312.49352520721493</v>
      </c>
      <c r="P17" s="124"/>
      <c r="Q17" s="137"/>
      <c r="R17" s="1455"/>
      <c r="S17" s="1455"/>
      <c r="T17" s="1455"/>
      <c r="U17" s="1455"/>
      <c r="V17" s="1455"/>
      <c r="W17" s="1455"/>
      <c r="X17" s="1731"/>
      <c r="Y17" s="1455"/>
      <c r="Z17" s="1455"/>
      <c r="AA17" s="1455"/>
      <c r="AB17" s="1455"/>
    </row>
    <row r="18" spans="1:28" ht="21.75" customHeight="1">
      <c r="A18" s="1174" t="s">
        <v>1368</v>
      </c>
      <c r="B18" s="637" t="s">
        <v>1182</v>
      </c>
      <c r="C18" s="128">
        <v>0</v>
      </c>
      <c r="D18" s="128">
        <v>149.66</v>
      </c>
      <c r="E18" s="153">
        <v>433.51</v>
      </c>
      <c r="F18" s="130" t="s">
        <v>633</v>
      </c>
      <c r="G18" s="130">
        <v>447.81345883519225</v>
      </c>
      <c r="H18" s="152">
        <v>-0.004114445455002169</v>
      </c>
      <c r="I18" s="137">
        <v>0</v>
      </c>
      <c r="J18" s="137">
        <v>-0.004114445455002169</v>
      </c>
      <c r="K18" s="152">
        <v>339.19251</v>
      </c>
      <c r="L18" s="137">
        <v>1630.0695288878678</v>
      </c>
      <c r="M18" s="137">
        <f>N18+O18</f>
        <v>503.7299556</v>
      </c>
      <c r="N18" s="124">
        <v>7.1999556</v>
      </c>
      <c r="O18" s="124">
        <v>496.53</v>
      </c>
      <c r="P18" s="124"/>
      <c r="Q18" s="137"/>
      <c r="R18" s="1455"/>
      <c r="S18" s="1455"/>
      <c r="T18" s="1455"/>
      <c r="U18" s="1455"/>
      <c r="V18" s="1455"/>
      <c r="W18" s="1455"/>
      <c r="X18" s="1731"/>
      <c r="Y18" s="1455"/>
      <c r="Z18" s="1455"/>
      <c r="AA18" s="1455"/>
      <c r="AB18" s="1455"/>
    </row>
    <row r="19" spans="1:28" ht="48.75" customHeight="1">
      <c r="A19" s="1167" t="s">
        <v>1268</v>
      </c>
      <c r="B19" s="127" t="s">
        <v>1182</v>
      </c>
      <c r="C19" s="128"/>
      <c r="D19" s="128"/>
      <c r="E19" s="128"/>
      <c r="F19" s="130"/>
      <c r="G19" s="130"/>
      <c r="H19" s="153"/>
      <c r="I19" s="135"/>
      <c r="J19" s="135">
        <v>715.26</v>
      </c>
      <c r="K19" s="153">
        <v>230.01461</v>
      </c>
      <c r="L19" s="135">
        <v>1130.750805084746</v>
      </c>
      <c r="M19" s="1253" t="s">
        <v>1351</v>
      </c>
      <c r="N19" s="135"/>
      <c r="O19" s="135"/>
      <c r="P19" s="135"/>
      <c r="Q19" s="135"/>
      <c r="R19" s="1455"/>
      <c r="S19" s="1455"/>
      <c r="T19" s="1455"/>
      <c r="U19" s="1455"/>
      <c r="V19" s="1455"/>
      <c r="W19" s="1455"/>
      <c r="X19" s="1731"/>
      <c r="Y19" s="1455"/>
      <c r="Z19" s="1455"/>
      <c r="AA19" s="1455"/>
      <c r="AB19" s="1455"/>
    </row>
    <row r="20" spans="1:28" ht="31.5" customHeight="1">
      <c r="A20" s="1167" t="s">
        <v>944</v>
      </c>
      <c r="B20" s="127" t="s">
        <v>1182</v>
      </c>
      <c r="C20" s="128"/>
      <c r="D20" s="128"/>
      <c r="E20" s="128"/>
      <c r="F20" s="130"/>
      <c r="G20" s="130"/>
      <c r="H20" s="153"/>
      <c r="I20" s="135"/>
      <c r="J20" s="135"/>
      <c r="K20" s="153">
        <v>109.17790000000001</v>
      </c>
      <c r="L20" s="135">
        <v>499.3187238031218</v>
      </c>
      <c r="M20" s="135"/>
      <c r="N20" s="135"/>
      <c r="O20" s="135"/>
      <c r="P20" s="135"/>
      <c r="Q20" s="135"/>
      <c r="R20" s="1455"/>
      <c r="S20" s="1455"/>
      <c r="T20" s="1455"/>
      <c r="U20" s="1455"/>
      <c r="V20" s="1455"/>
      <c r="W20" s="1455"/>
      <c r="X20" s="1731"/>
      <c r="Y20" s="1455"/>
      <c r="Z20" s="1455"/>
      <c r="AA20" s="1455"/>
      <c r="AB20" s="1455"/>
    </row>
    <row r="21" spans="1:28" ht="21.75" customHeight="1">
      <c r="A21" s="1167" t="s">
        <v>1077</v>
      </c>
      <c r="B21" s="127" t="s">
        <v>1182</v>
      </c>
      <c r="C21" s="128"/>
      <c r="D21" s="128"/>
      <c r="E21" s="128"/>
      <c r="F21" s="130"/>
      <c r="G21" s="130"/>
      <c r="H21" s="153">
        <v>-715.264114445455</v>
      </c>
      <c r="I21" s="141">
        <v>0</v>
      </c>
      <c r="J21" s="141">
        <v>-715.264114445455</v>
      </c>
      <c r="K21" s="153"/>
      <c r="L21" s="141"/>
      <c r="M21" s="141"/>
      <c r="N21" s="141"/>
      <c r="O21" s="141"/>
      <c r="P21" s="141"/>
      <c r="Q21" s="141"/>
      <c r="R21" s="1455"/>
      <c r="S21" s="1455"/>
      <c r="T21" s="1455"/>
      <c r="U21" s="1455"/>
      <c r="V21" s="1455"/>
      <c r="W21" s="1455"/>
      <c r="X21" s="1731"/>
      <c r="Y21" s="1455"/>
      <c r="Z21" s="1455"/>
      <c r="AA21" s="1455"/>
      <c r="AB21" s="1455"/>
    </row>
    <row r="22" spans="1:28" ht="18.75">
      <c r="A22" s="1169" t="s">
        <v>1067</v>
      </c>
      <c r="B22" s="637" t="s">
        <v>1182</v>
      </c>
      <c r="C22" s="135">
        <v>4434.07</v>
      </c>
      <c r="D22" s="135">
        <v>4897.92</v>
      </c>
      <c r="E22" s="153">
        <v>4806.2</v>
      </c>
      <c r="F22" s="137">
        <v>2749.83</v>
      </c>
      <c r="G22" s="137">
        <v>3801.4124800000004</v>
      </c>
      <c r="H22" s="137">
        <v>4260.373078489287</v>
      </c>
      <c r="I22" s="137">
        <v>2130.1865392446434</v>
      </c>
      <c r="J22" s="137">
        <v>2130.1865392446434</v>
      </c>
      <c r="K22" s="137">
        <v>2799.56715</v>
      </c>
      <c r="L22" s="137">
        <v>4317.299841695865</v>
      </c>
      <c r="M22" s="137">
        <f>'ФОТ основных'!V30*0.001</f>
        <v>3910.208964074579</v>
      </c>
      <c r="N22" s="124">
        <f>M22/2</f>
        <v>1955.1044820372895</v>
      </c>
      <c r="O22" s="124">
        <f>M22-N22</f>
        <v>1955.1044820372895</v>
      </c>
      <c r="P22" s="124"/>
      <c r="Q22" s="137"/>
      <c r="R22" s="1455"/>
      <c r="S22" s="1455"/>
      <c r="T22" s="1455"/>
      <c r="U22" s="1455"/>
      <c r="V22" s="1455"/>
      <c r="W22" s="1455"/>
      <c r="X22" s="1731"/>
      <c r="Y22" s="1455"/>
      <c r="Z22" s="1455"/>
      <c r="AA22" s="1455"/>
      <c r="AB22" s="1455"/>
    </row>
    <row r="23" spans="1:28" ht="37.5">
      <c r="A23" s="1168" t="s">
        <v>1190</v>
      </c>
      <c r="B23" s="127" t="s">
        <v>1189</v>
      </c>
      <c r="C23" s="135">
        <v>10867.818627450979</v>
      </c>
      <c r="D23" s="135">
        <v>11.661714285714286</v>
      </c>
      <c r="E23" s="153">
        <v>12516.13</v>
      </c>
      <c r="F23" s="168">
        <v>12730.71</v>
      </c>
      <c r="G23" s="1398">
        <v>14399.289696969698</v>
      </c>
      <c r="H23" s="1407">
        <v>15436.1343423525</v>
      </c>
      <c r="I23" s="1407"/>
      <c r="J23" s="1407"/>
      <c r="K23" s="1407">
        <v>14139.22803030303</v>
      </c>
      <c r="L23" s="1407">
        <v>16353.408491272217</v>
      </c>
      <c r="M23" s="1338"/>
      <c r="N23" s="1338"/>
      <c r="O23" s="1338"/>
      <c r="P23" s="1338"/>
      <c r="Q23" s="1338"/>
      <c r="R23" s="1455"/>
      <c r="S23" s="1455"/>
      <c r="T23" s="1455"/>
      <c r="U23" s="1455"/>
      <c r="V23" s="1455"/>
      <c r="W23" s="1455"/>
      <c r="X23" s="1731"/>
      <c r="Y23" s="1455"/>
      <c r="Z23" s="1455"/>
      <c r="AA23" s="1455"/>
      <c r="AB23" s="1455"/>
    </row>
    <row r="24" spans="1:28" ht="18.75">
      <c r="A24" s="1168" t="s">
        <v>926</v>
      </c>
      <c r="B24" s="132" t="s">
        <v>1204</v>
      </c>
      <c r="C24" s="135">
        <v>34</v>
      </c>
      <c r="D24" s="135">
        <v>35</v>
      </c>
      <c r="E24" s="153">
        <v>32</v>
      </c>
      <c r="F24" s="139">
        <v>18</v>
      </c>
      <c r="G24" s="1411">
        <v>22</v>
      </c>
      <c r="H24" s="1398">
        <v>23</v>
      </c>
      <c r="I24" s="1407"/>
      <c r="J24" s="1407"/>
      <c r="K24" s="1398">
        <v>22</v>
      </c>
      <c r="L24" s="1407">
        <v>22</v>
      </c>
      <c r="M24" s="1338">
        <f>'ФОТ основных'!G30</f>
        <v>22</v>
      </c>
      <c r="N24" s="1338"/>
      <c r="O24" s="1349"/>
      <c r="P24" s="1349"/>
      <c r="Q24" s="1349"/>
      <c r="R24" s="1455"/>
      <c r="S24" s="1455"/>
      <c r="T24" s="1455"/>
      <c r="U24" s="1455"/>
      <c r="V24" s="1455">
        <v>3</v>
      </c>
      <c r="W24" s="1455"/>
      <c r="X24" s="1731"/>
      <c r="Y24" s="1455"/>
      <c r="Z24" s="1455"/>
      <c r="AA24" s="1455"/>
      <c r="AB24" s="1455"/>
    </row>
    <row r="25" spans="1:28" s="1555" customFormat="1" ht="37.5">
      <c r="A25" s="1717" t="s">
        <v>1026</v>
      </c>
      <c r="B25" s="1718" t="s">
        <v>1183</v>
      </c>
      <c r="C25" s="1719"/>
      <c r="D25" s="1719"/>
      <c r="E25" s="1720"/>
      <c r="F25" s="1721">
        <v>4630.22</v>
      </c>
      <c r="G25" s="1722">
        <v>4679</v>
      </c>
      <c r="H25" s="1726">
        <v>4.936</v>
      </c>
      <c r="I25" s="1723"/>
      <c r="J25" s="1723"/>
      <c r="K25" s="1722">
        <v>4936</v>
      </c>
      <c r="L25" s="1722">
        <v>4936</v>
      </c>
      <c r="M25" s="1724">
        <f>'ФОТ основных'!F3*'ФОТ основных'!Y4</f>
        <v>5158.12</v>
      </c>
      <c r="N25" s="1724"/>
      <c r="O25" s="1725"/>
      <c r="P25" s="1725"/>
      <c r="Q25" s="1725"/>
      <c r="R25" s="1554"/>
      <c r="S25" s="1554"/>
      <c r="T25" s="1554"/>
      <c r="U25" s="1554"/>
      <c r="V25" s="1554"/>
      <c r="W25" s="1554"/>
      <c r="X25" s="1737"/>
      <c r="Y25" s="1554"/>
      <c r="Z25" s="1554"/>
      <c r="AA25" s="1554"/>
      <c r="AB25" s="1554"/>
    </row>
    <row r="26" spans="1:28" ht="16.5" customHeight="1" hidden="1">
      <c r="A26" s="1169" t="s">
        <v>1187</v>
      </c>
      <c r="B26" s="127" t="s">
        <v>1182</v>
      </c>
      <c r="C26" s="135"/>
      <c r="D26" s="135"/>
      <c r="E26" s="153"/>
      <c r="F26" s="137"/>
      <c r="G26" s="137"/>
      <c r="H26" s="129"/>
      <c r="I26" s="129"/>
      <c r="J26" s="129"/>
      <c r="K26" s="129"/>
      <c r="L26" s="129"/>
      <c r="M26" s="138"/>
      <c r="N26" s="138"/>
      <c r="O26" s="138"/>
      <c r="P26" s="138"/>
      <c r="Q26" s="138"/>
      <c r="R26" s="1455"/>
      <c r="S26" s="1455"/>
      <c r="T26" s="1455"/>
      <c r="U26" s="1455"/>
      <c r="V26" s="1455"/>
      <c r="W26" s="1455"/>
      <c r="X26" s="1731"/>
      <c r="Y26" s="1455"/>
      <c r="Z26" s="1455"/>
      <c r="AA26" s="1455"/>
      <c r="AB26" s="1455"/>
    </row>
    <row r="27" spans="1:28" ht="22.5" customHeight="1" hidden="1">
      <c r="A27" s="1164" t="s">
        <v>1190</v>
      </c>
      <c r="B27" s="127" t="s">
        <v>1189</v>
      </c>
      <c r="C27" s="135" t="e">
        <v>#DIV/0!</v>
      </c>
      <c r="D27" s="135"/>
      <c r="E27" s="153"/>
      <c r="F27" s="137"/>
      <c r="G27" s="137"/>
      <c r="H27" s="129"/>
      <c r="I27" s="129"/>
      <c r="J27" s="129"/>
      <c r="K27" s="129"/>
      <c r="L27" s="129"/>
      <c r="M27" s="138"/>
      <c r="N27" s="138"/>
      <c r="O27" s="138"/>
      <c r="P27" s="138"/>
      <c r="Q27" s="138"/>
      <c r="R27" s="1455"/>
      <c r="S27" s="1455"/>
      <c r="T27" s="1455"/>
      <c r="U27" s="1455"/>
      <c r="V27" s="1455"/>
      <c r="W27" s="1455"/>
      <c r="X27" s="1731"/>
      <c r="Y27" s="1455"/>
      <c r="Z27" s="1455"/>
      <c r="AA27" s="1455"/>
      <c r="AB27" s="1455"/>
    </row>
    <row r="28" spans="1:28" ht="21.75" customHeight="1" hidden="1">
      <c r="A28" s="1170" t="s">
        <v>1184</v>
      </c>
      <c r="B28" s="132" t="s">
        <v>1204</v>
      </c>
      <c r="C28" s="135"/>
      <c r="D28" s="135"/>
      <c r="E28" s="153"/>
      <c r="F28" s="137"/>
      <c r="G28" s="137"/>
      <c r="H28" s="129"/>
      <c r="I28" s="129"/>
      <c r="J28" s="129"/>
      <c r="K28" s="129"/>
      <c r="L28" s="129"/>
      <c r="M28" s="138"/>
      <c r="N28" s="138"/>
      <c r="O28" s="138"/>
      <c r="P28" s="138"/>
      <c r="Q28" s="138"/>
      <c r="R28" s="1455"/>
      <c r="S28" s="1455"/>
      <c r="T28" s="1455"/>
      <c r="U28" s="1455"/>
      <c r="V28" s="1455"/>
      <c r="W28" s="1455"/>
      <c r="X28" s="1731"/>
      <c r="Y28" s="1455"/>
      <c r="Z28" s="1455"/>
      <c r="AA28" s="1455"/>
      <c r="AB28" s="1455"/>
    </row>
    <row r="29" spans="1:28" ht="37.5">
      <c r="A29" s="1169" t="s">
        <v>1188</v>
      </c>
      <c r="B29" s="637" t="s">
        <v>1182</v>
      </c>
      <c r="C29" s="135">
        <v>3583.2</v>
      </c>
      <c r="D29" s="135">
        <v>5338.569173292557</v>
      </c>
      <c r="E29" s="153">
        <v>6576.17</v>
      </c>
      <c r="F29" s="137">
        <v>6506.71</v>
      </c>
      <c r="G29" s="137">
        <v>7321.714223536328</v>
      </c>
      <c r="H29" s="137">
        <v>7379.12988404655</v>
      </c>
      <c r="I29" s="137">
        <v>3689.564942023275</v>
      </c>
      <c r="J29" s="137">
        <v>3689.564942023275</v>
      </c>
      <c r="K29" s="137">
        <v>5178.919410721775</v>
      </c>
      <c r="L29" s="137">
        <v>8558.52321398564</v>
      </c>
      <c r="M29" s="137">
        <f>M32+M35+M40+M42</f>
        <v>6847.5969477071785</v>
      </c>
      <c r="N29" s="124">
        <f>M29/2</f>
        <v>3423.7984738535893</v>
      </c>
      <c r="O29" s="124">
        <f>M29-N29</f>
        <v>3423.7984738535893</v>
      </c>
      <c r="P29" s="124"/>
      <c r="Q29" s="137"/>
      <c r="R29" s="1455"/>
      <c r="S29" s="1455"/>
      <c r="T29" s="1455"/>
      <c r="U29" s="1455"/>
      <c r="V29" s="1455"/>
      <c r="W29" s="1455"/>
      <c r="X29" s="1731"/>
      <c r="Y29" s="1455"/>
      <c r="Z29" s="1455"/>
      <c r="AA29" s="1455"/>
      <c r="AB29" s="1455"/>
    </row>
    <row r="30" spans="1:28" ht="18.75">
      <c r="A30" s="1166" t="s">
        <v>1190</v>
      </c>
      <c r="B30" s="127" t="s">
        <v>1189</v>
      </c>
      <c r="C30" s="135" t="e">
        <v>#DIV/0!</v>
      </c>
      <c r="D30" s="135"/>
      <c r="E30" s="153">
        <v>15863.73</v>
      </c>
      <c r="F30" s="840">
        <v>19423.72</v>
      </c>
      <c r="G30" s="153">
        <v>19038.527139422553</v>
      </c>
      <c r="H30" s="153">
        <v>21732.776832778276</v>
      </c>
      <c r="I30" s="154"/>
      <c r="J30" s="154"/>
      <c r="K30" s="168">
        <v>17955.539689863548</v>
      </c>
      <c r="L30" s="168">
        <v>20696.64476107891</v>
      </c>
      <c r="M30" s="136">
        <f>M29/12/M31*1000</f>
        <v>20426.586108452077</v>
      </c>
      <c r="N30" s="136"/>
      <c r="O30" s="136"/>
      <c r="P30" s="136"/>
      <c r="Q30" s="136"/>
      <c r="R30" s="1455"/>
      <c r="S30" s="1455"/>
      <c r="T30" s="1455"/>
      <c r="U30" s="1455"/>
      <c r="V30" s="1455"/>
      <c r="W30" s="1455"/>
      <c r="X30" s="1731"/>
      <c r="Y30" s="1455"/>
      <c r="Z30" s="1455"/>
      <c r="AA30" s="1455"/>
      <c r="AB30" s="1455"/>
    </row>
    <row r="31" spans="1:28" ht="18.75" customHeight="1">
      <c r="A31" s="1171" t="s">
        <v>926</v>
      </c>
      <c r="B31" s="132" t="s">
        <v>1204</v>
      </c>
      <c r="C31" s="135"/>
      <c r="D31" s="135"/>
      <c r="E31" s="153">
        <v>34.55</v>
      </c>
      <c r="F31" s="841">
        <v>22.48</v>
      </c>
      <c r="G31" s="1408">
        <v>32.04779694842858</v>
      </c>
      <c r="H31" s="1408">
        <v>28.294934194039733</v>
      </c>
      <c r="I31" s="1410"/>
      <c r="J31" s="1410"/>
      <c r="K31" s="1410">
        <v>32.04779694842858</v>
      </c>
      <c r="L31" s="1410">
        <v>34.46018792250639</v>
      </c>
      <c r="M31" s="1346">
        <f>M33+M36+M41+M43</f>
        <v>27.935802681167687</v>
      </c>
      <c r="N31" s="1346"/>
      <c r="O31" s="135"/>
      <c r="P31" s="135"/>
      <c r="Q31" s="135"/>
      <c r="R31" s="1455"/>
      <c r="S31" s="1455"/>
      <c r="T31" s="1455"/>
      <c r="U31" s="1455"/>
      <c r="V31" s="1455"/>
      <c r="W31" s="1455"/>
      <c r="X31" s="1731"/>
      <c r="Y31" s="1455"/>
      <c r="Z31" s="1455"/>
      <c r="AA31" s="1455"/>
      <c r="AB31" s="1455"/>
    </row>
    <row r="32" spans="1:28" ht="24.75" customHeight="1">
      <c r="A32" s="1496" t="s">
        <v>295</v>
      </c>
      <c r="B32" s="156">
        <v>1</v>
      </c>
      <c r="C32" s="135"/>
      <c r="D32" s="135"/>
      <c r="E32" s="135"/>
      <c r="F32" s="842">
        <v>869.05</v>
      </c>
      <c r="G32" s="1338"/>
      <c r="H32" s="1406">
        <v>3775.103370637473</v>
      </c>
      <c r="I32" s="1414">
        <v>1887.5516853187364</v>
      </c>
      <c r="J32" s="1414">
        <v>1887.5516853187364</v>
      </c>
      <c r="K32" s="1338">
        <v>610.69168</v>
      </c>
      <c r="L32" s="1338">
        <v>1243.8655200906544</v>
      </c>
      <c r="M32" s="1338">
        <f>'ФОТ цеховые'!V35*0.001</f>
        <v>771.0176013676191</v>
      </c>
      <c r="N32" s="1338"/>
      <c r="O32" s="136"/>
      <c r="P32" s="136"/>
      <c r="Q32" s="136"/>
      <c r="R32" s="1455"/>
      <c r="S32" s="1455"/>
      <c r="T32" s="1455"/>
      <c r="U32" s="1455"/>
      <c r="V32" s="1455"/>
      <c r="W32" s="1455"/>
      <c r="X32" s="1731"/>
      <c r="Y32" s="1455"/>
      <c r="Z32" s="1455"/>
      <c r="AA32" s="1455"/>
      <c r="AB32" s="1455"/>
    </row>
    <row r="33" spans="1:28" ht="21.75" customHeight="1">
      <c r="A33" s="1172" t="s">
        <v>926</v>
      </c>
      <c r="B33" s="132"/>
      <c r="C33" s="135"/>
      <c r="D33" s="135"/>
      <c r="E33" s="135"/>
      <c r="F33" s="842">
        <v>3</v>
      </c>
      <c r="G33" s="1401">
        <v>3</v>
      </c>
      <c r="H33" s="1406">
        <v>15</v>
      </c>
      <c r="I33" s="1409"/>
      <c r="J33" s="1409"/>
      <c r="K33" s="1401">
        <v>3</v>
      </c>
      <c r="L33" s="1401">
        <v>3</v>
      </c>
      <c r="M33" s="1338">
        <f>'ФОТ цеховые'!G35</f>
        <v>2</v>
      </c>
      <c r="N33" s="1338"/>
      <c r="O33" s="136"/>
      <c r="P33" s="136"/>
      <c r="Q33" s="136"/>
      <c r="R33" s="1455"/>
      <c r="S33" s="1455"/>
      <c r="T33" s="1455"/>
      <c r="U33" s="1455"/>
      <c r="V33" s="1455"/>
      <c r="W33" s="1455"/>
      <c r="X33" s="1731"/>
      <c r="Y33" s="1455"/>
      <c r="Z33" s="1455"/>
      <c r="AA33" s="1455"/>
      <c r="AB33" s="1455"/>
    </row>
    <row r="34" spans="1:28" ht="24" customHeight="1">
      <c r="A34" s="1172" t="s">
        <v>1027</v>
      </c>
      <c r="B34" s="132"/>
      <c r="C34" s="135"/>
      <c r="D34" s="135"/>
      <c r="E34" s="135"/>
      <c r="F34" s="842">
        <v>24140</v>
      </c>
      <c r="G34" s="1401"/>
      <c r="H34" s="1409"/>
      <c r="I34" s="1409"/>
      <c r="J34" s="1409"/>
      <c r="K34" s="1407">
        <v>22618.21037037037</v>
      </c>
      <c r="L34" s="1407">
        <v>34551.82000251818</v>
      </c>
      <c r="M34" s="1338"/>
      <c r="N34" s="1338"/>
      <c r="O34" s="136"/>
      <c r="P34" s="136"/>
      <c r="Q34" s="136"/>
      <c r="R34" s="1455"/>
      <c r="S34" s="1455"/>
      <c r="T34" s="1455"/>
      <c r="U34" s="1455"/>
      <c r="V34" s="1455"/>
      <c r="W34" s="1455"/>
      <c r="X34" s="1731"/>
      <c r="Y34" s="1455"/>
      <c r="Z34" s="1455"/>
      <c r="AA34" s="1455"/>
      <c r="AB34" s="1455"/>
    </row>
    <row r="35" spans="1:28" ht="22.5" customHeight="1">
      <c r="A35" s="1172" t="s">
        <v>220</v>
      </c>
      <c r="B35" s="156"/>
      <c r="C35" s="135"/>
      <c r="D35" s="135"/>
      <c r="E35" s="135"/>
      <c r="F35" s="842">
        <v>2819.08</v>
      </c>
      <c r="G35" s="1401"/>
      <c r="H35" s="1409"/>
      <c r="I35" s="1409"/>
      <c r="J35" s="1409"/>
      <c r="K35" s="1338">
        <v>2182.8137500000003</v>
      </c>
      <c r="L35" s="1338">
        <v>4100.976269183557</v>
      </c>
      <c r="M35" s="1338">
        <f>'ФОТ цеховые'!V49*0.001</f>
        <v>3002.5960706219075</v>
      </c>
      <c r="N35" s="1338"/>
      <c r="O35" s="136"/>
      <c r="P35" s="136"/>
      <c r="Q35" s="136"/>
      <c r="R35" s="1455"/>
      <c r="S35" s="1455"/>
      <c r="T35" s="1455"/>
      <c r="U35" s="1455"/>
      <c r="V35" s="1455"/>
      <c r="W35" s="1455"/>
      <c r="X35" s="1731"/>
      <c r="Y35" s="1455"/>
      <c r="Z35" s="1455"/>
      <c r="AA35" s="1455"/>
      <c r="AB35" s="1455"/>
    </row>
    <row r="36" spans="1:28" ht="18.75" customHeight="1">
      <c r="A36" s="1172" t="s">
        <v>926</v>
      </c>
      <c r="B36" s="132"/>
      <c r="C36" s="135"/>
      <c r="D36" s="135"/>
      <c r="E36" s="135"/>
      <c r="F36" s="842">
        <v>12</v>
      </c>
      <c r="G36" s="1401">
        <v>17.5</v>
      </c>
      <c r="H36" s="1409"/>
      <c r="I36" s="1409"/>
      <c r="J36" s="1409"/>
      <c r="K36" s="1407">
        <v>17</v>
      </c>
      <c r="L36" s="1401">
        <v>18.5</v>
      </c>
      <c r="M36" s="1338">
        <f>'ФОТ цеховые'!G49</f>
        <v>13</v>
      </c>
      <c r="N36" s="1338"/>
      <c r="O36" s="136"/>
      <c r="P36" s="136"/>
      <c r="Q36" s="136"/>
      <c r="R36" s="1455"/>
      <c r="S36" s="1455"/>
      <c r="T36" s="1455"/>
      <c r="U36" s="1455"/>
      <c r="V36" s="1455"/>
      <c r="W36" s="1455"/>
      <c r="X36" s="1731"/>
      <c r="Y36" s="1455"/>
      <c r="Z36" s="1455"/>
      <c r="AA36" s="1455"/>
      <c r="AB36" s="1455"/>
    </row>
    <row r="37" spans="1:28" ht="24" customHeight="1">
      <c r="A37" s="1172" t="s">
        <v>1027</v>
      </c>
      <c r="B37" s="132"/>
      <c r="C37" s="135"/>
      <c r="D37" s="135"/>
      <c r="E37" s="135"/>
      <c r="F37" s="842">
        <v>19576.93</v>
      </c>
      <c r="G37" s="1338"/>
      <c r="H37" s="1409"/>
      <c r="I37" s="1409"/>
      <c r="J37" s="1409"/>
      <c r="K37" s="1407">
        <v>14266.756535947714</v>
      </c>
      <c r="L37" s="1407">
        <v>18472.86607740341</v>
      </c>
      <c r="M37" s="1338"/>
      <c r="N37" s="1338"/>
      <c r="O37" s="136"/>
      <c r="P37" s="136"/>
      <c r="Q37" s="136"/>
      <c r="R37" s="1455"/>
      <c r="S37" s="1455"/>
      <c r="T37" s="1455"/>
      <c r="U37" s="1455"/>
      <c r="V37" s="1455"/>
      <c r="W37" s="1455"/>
      <c r="X37" s="1731"/>
      <c r="Y37" s="1455"/>
      <c r="Z37" s="1455"/>
      <c r="AA37" s="1455"/>
      <c r="AB37" s="1455"/>
    </row>
    <row r="38" spans="1:28" ht="20.25" customHeight="1" hidden="1">
      <c r="A38" s="1172" t="s">
        <v>1028</v>
      </c>
      <c r="B38" s="156"/>
      <c r="C38" s="135"/>
      <c r="D38" s="135"/>
      <c r="E38" s="135"/>
      <c r="F38" s="842">
        <v>929.55</v>
      </c>
      <c r="G38" s="1338"/>
      <c r="H38" s="1409"/>
      <c r="I38" s="1409"/>
      <c r="J38" s="1409"/>
      <c r="K38" s="1409"/>
      <c r="L38" s="1409"/>
      <c r="M38" s="1369"/>
      <c r="N38" s="1369"/>
      <c r="O38" s="138"/>
      <c r="P38" s="138"/>
      <c r="Q38" s="138"/>
      <c r="R38" s="1455"/>
      <c r="S38" s="1455"/>
      <c r="T38" s="1455"/>
      <c r="U38" s="1455"/>
      <c r="V38" s="1455"/>
      <c r="W38" s="1455"/>
      <c r="X38" s="1731"/>
      <c r="Y38" s="1455"/>
      <c r="Z38" s="1455"/>
      <c r="AA38" s="1455"/>
      <c r="AB38" s="1455"/>
    </row>
    <row r="39" spans="1:28" ht="25.5" customHeight="1" hidden="1">
      <c r="A39" s="1172" t="s">
        <v>926</v>
      </c>
      <c r="B39" s="143"/>
      <c r="C39" s="135"/>
      <c r="D39" s="135"/>
      <c r="E39" s="135"/>
      <c r="F39" s="842">
        <v>99</v>
      </c>
      <c r="G39" s="1338"/>
      <c r="H39" s="1409"/>
      <c r="I39" s="1409"/>
      <c r="J39" s="1409"/>
      <c r="K39" s="1409"/>
      <c r="L39" s="1409"/>
      <c r="M39" s="1369"/>
      <c r="N39" s="1369"/>
      <c r="O39" s="138"/>
      <c r="P39" s="138"/>
      <c r="Q39" s="138"/>
      <c r="R39" s="1455"/>
      <c r="S39" s="1455"/>
      <c r="T39" s="1455"/>
      <c r="U39" s="1455"/>
      <c r="V39" s="1455"/>
      <c r="W39" s="1455"/>
      <c r="X39" s="1731"/>
      <c r="Y39" s="1455"/>
      <c r="Z39" s="1455"/>
      <c r="AA39" s="1455"/>
      <c r="AB39" s="1455"/>
    </row>
    <row r="40" spans="1:28" ht="19.5" customHeight="1">
      <c r="A40" s="1172" t="s">
        <v>676</v>
      </c>
      <c r="B40" s="157">
        <f>'ФОТ основных'!H35</f>
        <v>0.538991778381987</v>
      </c>
      <c r="C40" s="135"/>
      <c r="D40" s="135"/>
      <c r="E40" s="135"/>
      <c r="F40" s="842">
        <v>929.55</v>
      </c>
      <c r="G40" s="1338"/>
      <c r="H40" s="1406">
        <v>1710.4932177754285</v>
      </c>
      <c r="I40" s="1414">
        <v>855.2466088877143</v>
      </c>
      <c r="J40" s="1414">
        <v>855.2466088877143</v>
      </c>
      <c r="K40" s="1338">
        <v>1193.8262612024303</v>
      </c>
      <c r="L40" s="1338">
        <v>1533.8700240747776</v>
      </c>
      <c r="M40" s="1338">
        <f>'ФОТ цеховые'!V88*0.001*B40</f>
        <v>1467.1929721701915</v>
      </c>
      <c r="N40" s="1338"/>
      <c r="O40" s="136"/>
      <c r="P40" s="136"/>
      <c r="Q40" s="141"/>
      <c r="R40" s="1455"/>
      <c r="S40" s="1455"/>
      <c r="T40" s="1455"/>
      <c r="U40" s="1455"/>
      <c r="V40" s="1455"/>
      <c r="W40" s="1455"/>
      <c r="X40" s="1731"/>
      <c r="Y40" s="1455"/>
      <c r="Z40" s="1455"/>
      <c r="AA40" s="1455"/>
      <c r="AB40" s="1455"/>
    </row>
    <row r="41" spans="1:28" ht="26.25" customHeight="1">
      <c r="A41" s="1172" t="s">
        <v>926</v>
      </c>
      <c r="B41" s="143"/>
      <c r="C41" s="135"/>
      <c r="D41" s="135"/>
      <c r="E41" s="135"/>
      <c r="F41" s="842">
        <v>3.7</v>
      </c>
      <c r="G41" s="1338">
        <v>5.773898474214289</v>
      </c>
      <c r="H41" s="1406">
        <v>6.093511505601545</v>
      </c>
      <c r="I41" s="1414"/>
      <c r="J41" s="1409"/>
      <c r="K41" s="1401">
        <v>6.1628980652767105</v>
      </c>
      <c r="L41" s="1338">
        <v>6.198350745546533</v>
      </c>
      <c r="M41" s="1338">
        <f>'ФОТ цеховые'!G80*водоотведение!B40</f>
        <v>6.467901340583843</v>
      </c>
      <c r="N41" s="1338"/>
      <c r="O41" s="136"/>
      <c r="P41" s="136"/>
      <c r="Q41" s="136"/>
      <c r="R41" s="1455"/>
      <c r="S41" s="1455"/>
      <c r="T41" s="1455"/>
      <c r="U41" s="1455"/>
      <c r="V41" s="1455"/>
      <c r="W41" s="1455"/>
      <c r="X41" s="1731"/>
      <c r="Y41" s="1455"/>
      <c r="Z41" s="1455"/>
      <c r="AA41" s="1455"/>
      <c r="AB41" s="1455"/>
    </row>
    <row r="42" spans="1:28" ht="18" customHeight="1">
      <c r="A42" s="1172" t="s">
        <v>1029</v>
      </c>
      <c r="B42" s="157">
        <f>B40</f>
        <v>0.538991778381987</v>
      </c>
      <c r="C42" s="135"/>
      <c r="D42" s="135"/>
      <c r="E42" s="135"/>
      <c r="F42" s="842">
        <v>959.47</v>
      </c>
      <c r="G42" s="1338"/>
      <c r="H42" s="1406">
        <v>1893.5332956336483</v>
      </c>
      <c r="I42" s="1414">
        <v>946.7666478168242</v>
      </c>
      <c r="J42" s="1414">
        <v>946.7666478168242</v>
      </c>
      <c r="K42" s="1338">
        <v>1191.5877195193455</v>
      </c>
      <c r="L42" s="1338">
        <v>1679.811400636652</v>
      </c>
      <c r="M42" s="1338">
        <f>B42*'ФОТ цеховые'!V94*0.001</f>
        <v>1606.7903035474603</v>
      </c>
      <c r="N42" s="1338"/>
      <c r="O42" s="136"/>
      <c r="P42" s="136"/>
      <c r="Q42" s="136"/>
      <c r="R42" s="1455"/>
      <c r="S42" s="1455"/>
      <c r="T42" s="1455"/>
      <c r="U42" s="1455"/>
      <c r="V42" s="1455"/>
      <c r="W42" s="1455"/>
      <c r="X42" s="1731"/>
      <c r="Y42" s="1455"/>
      <c r="Z42" s="1455"/>
      <c r="AA42" s="1455"/>
      <c r="AB42" s="1455"/>
    </row>
    <row r="43" spans="1:28" ht="17.25" customHeight="1">
      <c r="A43" s="1172" t="s">
        <v>926</v>
      </c>
      <c r="B43" s="158"/>
      <c r="C43" s="135"/>
      <c r="D43" s="135"/>
      <c r="E43" s="135"/>
      <c r="F43" s="842">
        <v>4.44</v>
      </c>
      <c r="G43" s="1338">
        <v>5.773898474214289</v>
      </c>
      <c r="H43" s="1406">
        <v>7.20142268843819</v>
      </c>
      <c r="I43" s="1409"/>
      <c r="J43" s="1409"/>
      <c r="K43" s="1401">
        <v>6.764569309969479</v>
      </c>
      <c r="L43" s="1338">
        <v>6.761837176959855</v>
      </c>
      <c r="M43" s="1338">
        <f>B42*'ФОТ цеховые'!G94</f>
        <v>6.467901340583843</v>
      </c>
      <c r="N43" s="1338"/>
      <c r="O43" s="136"/>
      <c r="P43" s="136"/>
      <c r="Q43" s="136"/>
      <c r="R43" s="1455"/>
      <c r="S43" s="1455"/>
      <c r="T43" s="1455"/>
      <c r="U43" s="1455"/>
      <c r="V43" s="1455"/>
      <c r="W43" s="1455"/>
      <c r="X43" s="1731"/>
      <c r="Y43" s="1455"/>
      <c r="Z43" s="1455"/>
      <c r="AA43" s="1455"/>
      <c r="AB43" s="1455"/>
    </row>
    <row r="44" spans="1:28" s="119" customFormat="1" ht="25.5" customHeight="1">
      <c r="A44" s="1388" t="s">
        <v>945</v>
      </c>
      <c r="B44" s="637" t="s">
        <v>1182</v>
      </c>
      <c r="C44" s="137"/>
      <c r="D44" s="137"/>
      <c r="E44" s="137"/>
      <c r="F44" s="137"/>
      <c r="G44" s="137">
        <v>3168.8211745383387</v>
      </c>
      <c r="H44" s="137">
        <v>1579.921785726031</v>
      </c>
      <c r="I44" s="137">
        <v>789.9608928630155</v>
      </c>
      <c r="J44" s="137">
        <v>789.9608928630155</v>
      </c>
      <c r="K44" s="137">
        <v>2408.694593447509</v>
      </c>
      <c r="L44" s="137">
        <v>3173.610819915692</v>
      </c>
      <c r="M44" s="137">
        <f>M47+M49</f>
        <v>2370.4332807553465</v>
      </c>
      <c r="N44" s="124">
        <f>M44/2</f>
        <v>1185.2166403776732</v>
      </c>
      <c r="O44" s="124">
        <f>M44-N44</f>
        <v>1185.2166403776732</v>
      </c>
      <c r="P44" s="124"/>
      <c r="Q44" s="137"/>
      <c r="R44" s="1595"/>
      <c r="S44" s="1595"/>
      <c r="T44" s="1595"/>
      <c r="U44" s="1595"/>
      <c r="V44" s="1595"/>
      <c r="W44" s="1595"/>
      <c r="X44" s="1738"/>
      <c r="Y44" s="1595"/>
      <c r="Z44" s="1595"/>
      <c r="AA44" s="1595"/>
      <c r="AB44" s="1595"/>
    </row>
    <row r="45" spans="1:28" s="57" customFormat="1" ht="20.25" customHeight="1">
      <c r="A45" s="1173" t="s">
        <v>682</v>
      </c>
      <c r="B45" s="1412">
        <f>'ФОТ основных'!I35</f>
        <v>0.5223568075751344</v>
      </c>
      <c r="C45" s="136"/>
      <c r="D45" s="136"/>
      <c r="E45" s="136"/>
      <c r="F45" s="136"/>
      <c r="G45" s="843">
        <v>11.060139050282919</v>
      </c>
      <c r="H45" s="1425">
        <v>9.855984454119474</v>
      </c>
      <c r="I45" s="1425"/>
      <c r="J45" s="1425"/>
      <c r="K45" s="843">
        <v>11</v>
      </c>
      <c r="L45" s="843">
        <v>10.426899319710838</v>
      </c>
      <c r="M45" s="843">
        <f>M48+M50</f>
        <v>8.322673082458206</v>
      </c>
      <c r="N45" s="843"/>
      <c r="O45" s="843"/>
      <c r="P45" s="843"/>
      <c r="Q45" s="843"/>
      <c r="R45" s="1540"/>
      <c r="S45" s="1540"/>
      <c r="T45" s="1540"/>
      <c r="U45" s="1540"/>
      <c r="V45" s="1540"/>
      <c r="W45" s="1540"/>
      <c r="X45" s="1739"/>
      <c r="Y45" s="1540"/>
      <c r="Z45" s="1540"/>
      <c r="AA45" s="1540"/>
      <c r="AB45" s="1540"/>
    </row>
    <row r="46" spans="1:28" s="57" customFormat="1" ht="18.75">
      <c r="A46" s="1172" t="s">
        <v>1027</v>
      </c>
      <c r="B46" s="127" t="s">
        <v>1189</v>
      </c>
      <c r="C46" s="136"/>
      <c r="D46" s="136"/>
      <c r="E46" s="136"/>
      <c r="F46" s="136"/>
      <c r="G46" s="1383">
        <v>23875.688181765978</v>
      </c>
      <c r="H46" s="1383">
        <v>13358.396558293372</v>
      </c>
      <c r="I46" s="1426"/>
      <c r="J46" s="1426"/>
      <c r="K46" s="1383">
        <v>24330.248418661704</v>
      </c>
      <c r="L46" s="1439">
        <v>25363.970651022068</v>
      </c>
      <c r="M46" s="1439">
        <f>M44/12/M45*1000</f>
        <v>23734.694943859005</v>
      </c>
      <c r="N46" s="1440"/>
      <c r="O46" s="842"/>
      <c r="P46" s="842"/>
      <c r="Q46" s="842"/>
      <c r="R46" s="1540"/>
      <c r="S46" s="1540"/>
      <c r="T46" s="1540"/>
      <c r="U46" s="1540"/>
      <c r="V46" s="1540"/>
      <c r="W46" s="1540"/>
      <c r="X46" s="1739"/>
      <c r="Y46" s="1540"/>
      <c r="Z46" s="1540"/>
      <c r="AA46" s="1540"/>
      <c r="AB46" s="1540"/>
    </row>
    <row r="47" spans="1:28" s="60" customFormat="1" ht="25.5">
      <c r="A47" s="1415" t="s">
        <v>683</v>
      </c>
      <c r="B47" s="1416"/>
      <c r="C47" s="1349">
        <v>2817.9</v>
      </c>
      <c r="D47" s="1349">
        <v>1288.9328664143266</v>
      </c>
      <c r="E47" s="1417">
        <v>5283.66</v>
      </c>
      <c r="F47" s="1373">
        <v>1318.7</v>
      </c>
      <c r="G47" s="1385">
        <v>2398.722598183913</v>
      </c>
      <c r="H47" s="1385">
        <v>1401.752749907402</v>
      </c>
      <c r="I47" s="1384">
        <v>700.876374953701</v>
      </c>
      <c r="J47" s="1384">
        <v>700.876374953701</v>
      </c>
      <c r="K47" s="1385">
        <v>1196.909930004153</v>
      </c>
      <c r="L47" s="1385">
        <v>2367.048988309535</v>
      </c>
      <c r="M47" s="1385">
        <f>B45*('ФОТ АУП'!N17+'ФОТ АУП'!P25+'ФОТ АУП'!P33)*0.001</f>
        <v>1723.994294888395</v>
      </c>
      <c r="N47" s="1385"/>
      <c r="O47" s="844"/>
      <c r="P47" s="844"/>
      <c r="Q47" s="844"/>
      <c r="R47" s="1596"/>
      <c r="S47" s="1596"/>
      <c r="T47" s="1596"/>
      <c r="U47" s="1596"/>
      <c r="V47" s="1596"/>
      <c r="W47" s="1596"/>
      <c r="X47" s="1740"/>
      <c r="Y47" s="1596"/>
      <c r="Z47" s="1596"/>
      <c r="AA47" s="1596"/>
      <c r="AB47" s="1596"/>
    </row>
    <row r="48" spans="1:28" ht="38.25" customHeight="1">
      <c r="A48" s="1415" t="s">
        <v>680</v>
      </c>
      <c r="B48" s="1358" t="s">
        <v>1204</v>
      </c>
      <c r="C48" s="1349"/>
      <c r="D48" s="1349"/>
      <c r="E48" s="1418">
        <v>5.31</v>
      </c>
      <c r="F48" s="1338">
        <v>4.66</v>
      </c>
      <c r="G48" s="1419">
        <v>9.453527945622621</v>
      </c>
      <c r="H48" s="1420">
        <v>3.7605930279732993</v>
      </c>
      <c r="I48" s="1420"/>
      <c r="J48" s="1420"/>
      <c r="K48" s="1419"/>
      <c r="L48" s="1383">
        <v>8.615131266142507</v>
      </c>
      <c r="M48" s="1383">
        <f>B45*('ФОТ АУП'!F17+'ФОТ АУП'!F25+'ФОТ АУП'!F33)</f>
        <v>6.660049296582963</v>
      </c>
      <c r="N48" s="1383"/>
      <c r="O48" s="842"/>
      <c r="P48" s="842"/>
      <c r="Q48" s="842"/>
      <c r="R48" s="1455"/>
      <c r="S48" s="1455"/>
      <c r="T48" s="1455"/>
      <c r="U48" s="1455"/>
      <c r="V48" s="1455"/>
      <c r="W48" s="1455"/>
      <c r="X48" s="1731"/>
      <c r="Y48" s="1455"/>
      <c r="Z48" s="1455"/>
      <c r="AA48" s="1455"/>
      <c r="AB48" s="1455"/>
    </row>
    <row r="49" spans="1:28" ht="33.75" customHeight="1">
      <c r="A49" s="1415" t="s">
        <v>1036</v>
      </c>
      <c r="B49" s="1360">
        <f>'Кострома план '!F30*водоотведение!B45</f>
        <v>0.13855198215627015</v>
      </c>
      <c r="C49" s="1349"/>
      <c r="D49" s="1349"/>
      <c r="E49" s="1349"/>
      <c r="F49" s="1338"/>
      <c r="G49" s="1385">
        <v>770.0985763544261</v>
      </c>
      <c r="H49" s="1385">
        <v>178.16903581862903</v>
      </c>
      <c r="I49" s="1384">
        <v>89.08451790931451</v>
      </c>
      <c r="J49" s="1384">
        <v>89.08451790931451</v>
      </c>
      <c r="K49" s="1385">
        <v>634.954907163961</v>
      </c>
      <c r="L49" s="1385">
        <v>806.5618316061569</v>
      </c>
      <c r="M49" s="1385">
        <f>B49*'Кострома план '!M25*0.001</f>
        <v>646.4389858669513</v>
      </c>
      <c r="N49" s="1385"/>
      <c r="O49" s="844"/>
      <c r="P49" s="844"/>
      <c r="Q49" s="844"/>
      <c r="R49" s="1455"/>
      <c r="S49" s="1455"/>
      <c r="T49" s="1455"/>
      <c r="U49" s="1455"/>
      <c r="V49" s="1455"/>
      <c r="W49" s="1455"/>
      <c r="X49" s="1731"/>
      <c r="Y49" s="1455"/>
      <c r="Z49" s="1455"/>
      <c r="AA49" s="1455"/>
      <c r="AB49" s="1455"/>
    </row>
    <row r="50" spans="1:28" ht="18.75">
      <c r="A50" s="1415" t="s">
        <v>681</v>
      </c>
      <c r="B50" s="1358"/>
      <c r="C50" s="1349"/>
      <c r="D50" s="1349"/>
      <c r="E50" s="1349"/>
      <c r="F50" s="1338"/>
      <c r="G50" s="1419">
        <v>1.6066111046602969</v>
      </c>
      <c r="H50" s="1420">
        <v>1.9318777166043073</v>
      </c>
      <c r="I50" s="1420"/>
      <c r="J50" s="1420"/>
      <c r="K50" s="1421"/>
      <c r="L50" s="1383">
        <v>1.8117680535683318</v>
      </c>
      <c r="M50" s="1383">
        <f>B49*('Кострома план '!C16+'Кострома план '!C24)</f>
        <v>1.6626237858752417</v>
      </c>
      <c r="N50" s="1383"/>
      <c r="O50" s="842"/>
      <c r="P50" s="842"/>
      <c r="Q50" s="842"/>
      <c r="R50" s="1455"/>
      <c r="S50" s="1455"/>
      <c r="T50" s="1455"/>
      <c r="U50" s="1455"/>
      <c r="V50" s="1455"/>
      <c r="W50" s="1455"/>
      <c r="X50" s="1731"/>
      <c r="Y50" s="1455"/>
      <c r="Z50" s="1455"/>
      <c r="AA50" s="1455"/>
      <c r="AB50" s="1455"/>
    </row>
    <row r="51" spans="1:28" s="60" customFormat="1" ht="19.5" customHeight="1">
      <c r="A51" s="1169" t="s">
        <v>631</v>
      </c>
      <c r="B51" s="160"/>
      <c r="C51" s="137"/>
      <c r="D51" s="137"/>
      <c r="E51" s="137"/>
      <c r="F51" s="137">
        <v>593.46</v>
      </c>
      <c r="G51" s="137"/>
      <c r="H51" s="844">
        <v>903.7877165425955</v>
      </c>
      <c r="I51" s="140">
        <v>451.89385827129774</v>
      </c>
      <c r="J51" s="140">
        <v>451.89385827129774</v>
      </c>
      <c r="K51" s="844">
        <v>576.8297562793947</v>
      </c>
      <c r="L51" s="140"/>
      <c r="M51" s="140"/>
      <c r="N51" s="140"/>
      <c r="O51" s="140"/>
      <c r="P51" s="140"/>
      <c r="Q51" s="140"/>
      <c r="R51" s="1596"/>
      <c r="S51" s="1596"/>
      <c r="T51" s="1596"/>
      <c r="U51" s="1596"/>
      <c r="V51" s="1596"/>
      <c r="W51" s="1596"/>
      <c r="X51" s="1740"/>
      <c r="Y51" s="1596"/>
      <c r="Z51" s="1596"/>
      <c r="AA51" s="1596"/>
      <c r="AB51" s="1596"/>
    </row>
    <row r="52" spans="1:28" s="60" customFormat="1" ht="19.5" customHeight="1">
      <c r="A52" s="1169" t="s">
        <v>1329</v>
      </c>
      <c r="B52" s="160"/>
      <c r="C52" s="137"/>
      <c r="D52" s="137"/>
      <c r="E52" s="137"/>
      <c r="F52" s="137"/>
      <c r="G52" s="137"/>
      <c r="H52" s="844"/>
      <c r="I52" s="140"/>
      <c r="J52" s="140"/>
      <c r="K52" s="844"/>
      <c r="L52" s="140"/>
      <c r="M52" s="140">
        <f>0.302*(M22+M29+M44)</f>
        <v>3964.7282361462057</v>
      </c>
      <c r="N52" s="140">
        <f>0.302*(N22+N29+N44)</f>
        <v>1982.3641180731029</v>
      </c>
      <c r="O52" s="140">
        <f>0.302*(O22+O29+O44)</f>
        <v>1982.3641180731029</v>
      </c>
      <c r="P52" s="140"/>
      <c r="Q52" s="140"/>
      <c r="R52" s="1596"/>
      <c r="S52" s="1596"/>
      <c r="T52" s="1596"/>
      <c r="U52" s="1596"/>
      <c r="V52" s="1596"/>
      <c r="W52" s="1596"/>
      <c r="X52" s="1740"/>
      <c r="Y52" s="1596"/>
      <c r="Z52" s="1596"/>
      <c r="AA52" s="1596"/>
      <c r="AB52" s="1596"/>
    </row>
    <row r="53" spans="1:28" s="60" customFormat="1" ht="19.5" customHeight="1">
      <c r="A53" s="1169"/>
      <c r="B53" s="160"/>
      <c r="C53" s="137"/>
      <c r="D53" s="137"/>
      <c r="E53" s="137"/>
      <c r="F53" s="137"/>
      <c r="G53" s="137"/>
      <c r="H53" s="844"/>
      <c r="I53" s="140"/>
      <c r="J53" s="140"/>
      <c r="K53" s="844"/>
      <c r="L53" s="140"/>
      <c r="M53" s="140">
        <f>(M52+M44+M29+M22)/M87</f>
        <v>0.5246334810547458</v>
      </c>
      <c r="N53" s="140"/>
      <c r="O53" s="140"/>
      <c r="P53" s="140"/>
      <c r="Q53" s="140"/>
      <c r="R53" s="1596"/>
      <c r="S53" s="1596"/>
      <c r="T53" s="1596"/>
      <c r="U53" s="1596"/>
      <c r="V53" s="1596"/>
      <c r="W53" s="1596"/>
      <c r="X53" s="1740"/>
      <c r="Y53" s="1596"/>
      <c r="Z53" s="1596"/>
      <c r="AA53" s="1596"/>
      <c r="AB53" s="1596"/>
    </row>
    <row r="54" spans="1:28" s="60" customFormat="1" ht="18.75">
      <c r="A54" s="1174" t="s">
        <v>1069</v>
      </c>
      <c r="B54" s="637" t="s">
        <v>1182</v>
      </c>
      <c r="C54" s="130">
        <v>356.40000000000055</v>
      </c>
      <c r="D54" s="130">
        <v>2756.5789315351294</v>
      </c>
      <c r="E54" s="152">
        <v>2046.92</v>
      </c>
      <c r="F54" s="130">
        <v>3078.17</v>
      </c>
      <c r="G54" s="130">
        <v>3058.6544546641817</v>
      </c>
      <c r="H54" s="130">
        <v>967.15</v>
      </c>
      <c r="I54" s="166">
        <v>13.86</v>
      </c>
      <c r="J54" s="166">
        <v>953.29</v>
      </c>
      <c r="K54" s="130">
        <v>2004.2454606789213</v>
      </c>
      <c r="L54" s="130">
        <v>5848.027575665064</v>
      </c>
      <c r="M54" s="1196">
        <f>M55+M56+M57</f>
        <v>3489.975</v>
      </c>
      <c r="N54" s="1187">
        <f>N55+N56+N57</f>
        <v>1755.905</v>
      </c>
      <c r="O54" s="1187">
        <f>O55+O56+O57</f>
        <v>1734.07</v>
      </c>
      <c r="P54" s="1187"/>
      <c r="Q54" s="1196"/>
      <c r="R54" s="1596"/>
      <c r="S54" s="1596"/>
      <c r="T54" s="1596"/>
      <c r="U54" s="1596"/>
      <c r="V54" s="1596"/>
      <c r="W54" s="1596"/>
      <c r="X54" s="1740"/>
      <c r="Y54" s="1596"/>
      <c r="Z54" s="1596"/>
      <c r="AA54" s="1596"/>
      <c r="AB54" s="1596"/>
    </row>
    <row r="55" spans="1:28" ht="18.75">
      <c r="A55" s="1175" t="s">
        <v>1031</v>
      </c>
      <c r="B55" s="156">
        <v>1</v>
      </c>
      <c r="C55" s="128"/>
      <c r="D55" s="128"/>
      <c r="E55" s="128"/>
      <c r="F55" s="133">
        <v>2735.0527069290747</v>
      </c>
      <c r="G55" s="1343">
        <v>1861.4521600000003</v>
      </c>
      <c r="H55" s="1413">
        <v>967.15</v>
      </c>
      <c r="I55" s="1340">
        <v>483.575</v>
      </c>
      <c r="J55" s="1340">
        <v>483.575</v>
      </c>
      <c r="K55" s="1342">
        <v>1166.33386</v>
      </c>
      <c r="L55" s="1343">
        <v>3619.095783141828</v>
      </c>
      <c r="M55" s="1343">
        <f>N55+O55</f>
        <v>1833.357</v>
      </c>
      <c r="N55" s="1343">
        <v>916.677</v>
      </c>
      <c r="O55" s="1343">
        <v>916.68</v>
      </c>
      <c r="P55" s="1343"/>
      <c r="Q55" s="1343"/>
      <c r="R55" s="1455"/>
      <c r="S55" s="1455"/>
      <c r="T55" s="1455"/>
      <c r="U55" s="1455"/>
      <c r="V55" s="1455"/>
      <c r="W55" s="1455"/>
      <c r="X55" s="1731"/>
      <c r="Y55" s="1455"/>
      <c r="Z55" s="1455"/>
      <c r="AA55" s="1455"/>
      <c r="AB55" s="1455"/>
    </row>
    <row r="56" spans="1:28" ht="18.75">
      <c r="A56" s="1175" t="s">
        <v>1030</v>
      </c>
      <c r="B56" s="1427">
        <f>B40</f>
        <v>0.538991778381987</v>
      </c>
      <c r="C56" s="128"/>
      <c r="D56" s="128"/>
      <c r="E56" s="128"/>
      <c r="F56" s="133"/>
      <c r="G56" s="1343">
        <v>1108.804473291311</v>
      </c>
      <c r="H56" s="1343"/>
      <c r="I56" s="1340"/>
      <c r="J56" s="1340"/>
      <c r="K56" s="1347">
        <v>777.2793662081692</v>
      </c>
      <c r="L56" s="1343">
        <v>1671.4961767532786</v>
      </c>
      <c r="M56" s="1343">
        <f>N56+O56</f>
        <v>1656.618</v>
      </c>
      <c r="N56" s="1343">
        <v>839.228</v>
      </c>
      <c r="O56" s="1343">
        <v>817.39</v>
      </c>
      <c r="P56" s="1343"/>
      <c r="Q56" s="1343"/>
      <c r="R56" s="1455"/>
      <c r="S56" s="1455"/>
      <c r="T56" s="1455"/>
      <c r="U56" s="1455"/>
      <c r="V56" s="1455"/>
      <c r="W56" s="1455"/>
      <c r="X56" s="1731"/>
      <c r="Y56" s="1455"/>
      <c r="Z56" s="1455"/>
      <c r="AA56" s="1455"/>
      <c r="AB56" s="1455"/>
    </row>
    <row r="57" spans="1:28" ht="18.75">
      <c r="A57" s="1175" t="s">
        <v>178</v>
      </c>
      <c r="B57" s="1427">
        <f>B40</f>
        <v>0.538991778381987</v>
      </c>
      <c r="C57" s="128"/>
      <c r="D57" s="128"/>
      <c r="E57" s="128"/>
      <c r="F57" s="133"/>
      <c r="G57" s="1343">
        <v>88.39782137286988</v>
      </c>
      <c r="H57" s="1428"/>
      <c r="I57" s="1340"/>
      <c r="J57" s="1340"/>
      <c r="K57" s="1347">
        <v>60.63223447075212</v>
      </c>
      <c r="L57" s="1343">
        <v>557.4356157699568</v>
      </c>
      <c r="M57" s="1343"/>
      <c r="N57" s="1343"/>
      <c r="O57" s="1343"/>
      <c r="P57" s="1343"/>
      <c r="Q57" s="1343"/>
      <c r="R57" s="1455"/>
      <c r="S57" s="1455"/>
      <c r="T57" s="1455"/>
      <c r="U57" s="1455"/>
      <c r="V57" s="1455"/>
      <c r="W57" s="1455"/>
      <c r="X57" s="1731"/>
      <c r="Y57" s="1455"/>
      <c r="Z57" s="1455"/>
      <c r="AA57" s="1455"/>
      <c r="AB57" s="1455"/>
    </row>
    <row r="58" spans="1:28" s="59" customFormat="1" ht="37.5">
      <c r="A58" s="1174" t="s">
        <v>1070</v>
      </c>
      <c r="B58" s="161">
        <f>B45</f>
        <v>0.5223568075751344</v>
      </c>
      <c r="C58" s="130">
        <v>3001.4</v>
      </c>
      <c r="D58" s="130">
        <v>608.6032401655727</v>
      </c>
      <c r="E58" s="152">
        <v>763.34</v>
      </c>
      <c r="F58" s="130">
        <v>896.35</v>
      </c>
      <c r="G58" s="130">
        <v>896.3798306410786</v>
      </c>
      <c r="H58" s="137">
        <v>1253.8592823470701</v>
      </c>
      <c r="I58" s="137">
        <v>450</v>
      </c>
      <c r="J58" s="137">
        <v>803.8592823470701</v>
      </c>
      <c r="K58" s="137">
        <v>1188.0334908938544</v>
      </c>
      <c r="L58" s="1435">
        <v>1823.48</v>
      </c>
      <c r="M58" s="137">
        <f>B58*ОХР!F40</f>
        <v>919.5814790705225</v>
      </c>
      <c r="N58" s="125">
        <f>M58/2</f>
        <v>459.79073953526125</v>
      </c>
      <c r="O58" s="125">
        <f>M58-N58</f>
        <v>459.79073953526125</v>
      </c>
      <c r="P58" s="125"/>
      <c r="Q58" s="137"/>
      <c r="R58" s="1597"/>
      <c r="S58" s="1597"/>
      <c r="T58" s="1597"/>
      <c r="U58" s="1597"/>
      <c r="V58" s="1597"/>
      <c r="W58" s="1597"/>
      <c r="X58" s="1741"/>
      <c r="Y58" s="1597"/>
      <c r="Z58" s="1597"/>
      <c r="AA58" s="1597"/>
      <c r="AB58" s="1597"/>
    </row>
    <row r="59" spans="1:28" s="56" customFormat="1" ht="37.5" customHeight="1" thickBot="1">
      <c r="A59" s="1652" t="s">
        <v>1418</v>
      </c>
      <c r="B59" s="1653"/>
      <c r="C59" s="1654"/>
      <c r="D59" s="1654"/>
      <c r="E59" s="1655">
        <v>435.54</v>
      </c>
      <c r="F59" s="1656"/>
      <c r="G59" s="1656">
        <v>444.13472124739707</v>
      </c>
      <c r="H59" s="1656">
        <v>483.015730862409</v>
      </c>
      <c r="I59" s="1656">
        <v>241.5078654312045</v>
      </c>
      <c r="J59" s="1656">
        <v>241.5078654312045</v>
      </c>
      <c r="K59" s="1656">
        <v>870.6454131023715</v>
      </c>
      <c r="L59" s="1656">
        <v>1215.12</v>
      </c>
      <c r="M59" s="1657">
        <f>ОХР!F21</f>
        <v>0</v>
      </c>
      <c r="N59" s="1657"/>
      <c r="O59" s="1656"/>
      <c r="P59" s="1656"/>
      <c r="Q59" s="1656"/>
      <c r="R59" s="1658"/>
      <c r="S59" s="1659"/>
      <c r="T59" s="1659"/>
      <c r="U59" s="1659"/>
      <c r="V59" s="1659"/>
      <c r="W59" s="1659"/>
      <c r="X59" s="1742"/>
      <c r="Y59" s="1397"/>
      <c r="Z59" s="1397"/>
      <c r="AA59" s="1397"/>
      <c r="AB59" s="1397"/>
    </row>
    <row r="60" spans="1:28" s="56" customFormat="1" ht="19.5">
      <c r="A60" s="1635"/>
      <c r="B60" s="1636"/>
      <c r="C60" s="1637"/>
      <c r="D60" s="1637"/>
      <c r="E60" s="1638"/>
      <c r="F60" s="1639"/>
      <c r="G60" s="1639"/>
      <c r="H60" s="1639"/>
      <c r="I60" s="1639"/>
      <c r="J60" s="1639"/>
      <c r="K60" s="1639"/>
      <c r="L60" s="1639"/>
      <c r="M60" s="1640"/>
      <c r="N60" s="1640"/>
      <c r="O60" s="1639"/>
      <c r="P60" s="1639"/>
      <c r="Q60" s="1639"/>
      <c r="R60" s="1641"/>
      <c r="S60" s="1642"/>
      <c r="T60" s="1642"/>
      <c r="U60" s="1642"/>
      <c r="V60" s="1642"/>
      <c r="W60" s="1642"/>
      <c r="X60" s="1743"/>
      <c r="Y60" s="1397"/>
      <c r="Z60" s="1397"/>
      <c r="AA60" s="1397"/>
      <c r="AB60" s="1397"/>
    </row>
    <row r="61" spans="1:28" ht="28.5" customHeight="1">
      <c r="A61" s="1387" t="s">
        <v>1186</v>
      </c>
      <c r="B61" s="127" t="s">
        <v>1182</v>
      </c>
      <c r="C61" s="128">
        <v>3428.77</v>
      </c>
      <c r="D61" s="128">
        <v>4339.67</v>
      </c>
      <c r="E61" s="153">
        <v>4234.57</v>
      </c>
      <c r="F61" s="130">
        <v>5094.5281403304225</v>
      </c>
      <c r="G61" s="130">
        <v>3944.6894942150543</v>
      </c>
      <c r="H61" s="130">
        <v>4383.23102025086</v>
      </c>
      <c r="I61" s="130">
        <v>2112.4004916871613</v>
      </c>
      <c r="J61" s="130">
        <v>2270.8305285636984</v>
      </c>
      <c r="K61" s="130">
        <v>2791.34236</v>
      </c>
      <c r="L61" s="130">
        <v>5007.974800881539</v>
      </c>
      <c r="M61" s="130">
        <f>M62*M63</f>
        <v>5016.327479238093</v>
      </c>
      <c r="N61" s="1629">
        <f>N62*N63</f>
        <v>2417.507218909924</v>
      </c>
      <c r="O61" s="1629">
        <f>O62*O63</f>
        <v>2598.820260328169</v>
      </c>
      <c r="P61" s="1629"/>
      <c r="Q61" s="130">
        <f>R61+T61</f>
        <v>5379.557938879309</v>
      </c>
      <c r="R61" s="1629">
        <f>R62*R63</f>
        <v>2598.820260328169</v>
      </c>
      <c r="S61" s="1455"/>
      <c r="T61" s="1629">
        <f>T62*T63</f>
        <v>2780.7376785511406</v>
      </c>
      <c r="U61" s="130">
        <f>V61+X61</f>
        <v>5733.881093172452</v>
      </c>
      <c r="V61" s="1629">
        <f>V62*V63</f>
        <v>2780.7376785511406</v>
      </c>
      <c r="W61" s="1455"/>
      <c r="X61" s="1744">
        <f>X62*X63</f>
        <v>2953.1434146213114</v>
      </c>
      <c r="Y61" s="1455"/>
      <c r="Z61" s="1455"/>
      <c r="AA61" s="1455"/>
      <c r="AB61" s="1455"/>
    </row>
    <row r="62" spans="1:28" ht="18.75">
      <c r="A62" s="1164" t="s">
        <v>236</v>
      </c>
      <c r="B62" s="132" t="s">
        <v>1180</v>
      </c>
      <c r="C62" s="128">
        <v>839.4</v>
      </c>
      <c r="D62" s="128">
        <v>1102.8</v>
      </c>
      <c r="E62" s="153">
        <v>717.078</v>
      </c>
      <c r="F62" s="128">
        <v>1057.5264956886333</v>
      </c>
      <c r="G62" s="1343">
        <v>848.57</v>
      </c>
      <c r="H62" s="1343">
        <v>916.4427295822826</v>
      </c>
      <c r="I62" s="1397"/>
      <c r="J62" s="1397"/>
      <c r="K62" s="1343">
        <v>586.41</v>
      </c>
      <c r="L62" s="1343">
        <v>957.018</v>
      </c>
      <c r="M62" s="1343">
        <f>M64*M6</f>
        <v>965.0727420798102</v>
      </c>
      <c r="N62" s="1343">
        <f>N64*N6</f>
        <v>482.5363710399051</v>
      </c>
      <c r="O62" s="1343">
        <f>O64*O6</f>
        <v>482.5363710399051</v>
      </c>
      <c r="P62" s="1343"/>
      <c r="Q62" s="128"/>
      <c r="R62" s="1343">
        <f>R64*R6</f>
        <v>482.5363710399051</v>
      </c>
      <c r="S62" s="1455"/>
      <c r="T62" s="1343">
        <f>T64*T6</f>
        <v>482.5363710399051</v>
      </c>
      <c r="U62" s="1455"/>
      <c r="V62" s="1343">
        <f>V64*V6</f>
        <v>482.5363710399051</v>
      </c>
      <c r="W62" s="1455"/>
      <c r="X62" s="1745">
        <f>X64*X6</f>
        <v>482.5363710399051</v>
      </c>
      <c r="Y62" s="1455"/>
      <c r="Z62" s="1455"/>
      <c r="AA62" s="1455"/>
      <c r="AB62" s="1455"/>
    </row>
    <row r="63" spans="1:28" ht="24.75" customHeight="1">
      <c r="A63" s="1165" t="s">
        <v>1161</v>
      </c>
      <c r="B63" s="134" t="s">
        <v>1181</v>
      </c>
      <c r="C63" s="135"/>
      <c r="D63" s="135"/>
      <c r="E63" s="135">
        <v>4.352370083868143</v>
      </c>
      <c r="F63" s="141"/>
      <c r="G63" s="1338">
        <v>4.6486318090611904</v>
      </c>
      <c r="H63" s="1397"/>
      <c r="I63" s="1338">
        <v>4.61</v>
      </c>
      <c r="J63" s="1338">
        <v>4.95575</v>
      </c>
      <c r="K63" s="1338">
        <v>4.760052454767143</v>
      </c>
      <c r="L63" s="1338">
        <v>5.232895097983046</v>
      </c>
      <c r="M63" s="1338">
        <f>(5.01+5.01*1.075)/2</f>
        <v>5.197875</v>
      </c>
      <c r="N63" s="1338">
        <f>5.01</f>
        <v>5.01</v>
      </c>
      <c r="O63" s="1338">
        <f>1.075*N63</f>
        <v>5.38575</v>
      </c>
      <c r="P63" s="1338"/>
      <c r="Q63" s="135"/>
      <c r="R63" s="1373">
        <f>O63</f>
        <v>5.38575</v>
      </c>
      <c r="S63" s="1660">
        <v>1.07</v>
      </c>
      <c r="T63" s="1661">
        <f>R63*S63</f>
        <v>5.7627525</v>
      </c>
      <c r="U63" s="1661"/>
      <c r="V63" s="1661">
        <f>T63</f>
        <v>5.7627525</v>
      </c>
      <c r="W63" s="1661">
        <v>1.062</v>
      </c>
      <c r="X63" s="1746">
        <f>V63*W63</f>
        <v>6.120043155</v>
      </c>
      <c r="Y63" s="1455"/>
      <c r="Z63" s="1455"/>
      <c r="AA63" s="1455"/>
      <c r="AB63" s="1455"/>
    </row>
    <row r="64" spans="1:28" ht="18.75">
      <c r="A64" s="1166" t="s">
        <v>235</v>
      </c>
      <c r="B64" s="1399"/>
      <c r="C64" s="1343"/>
      <c r="D64" s="1343"/>
      <c r="E64" s="1398">
        <v>0.9622062919134132</v>
      </c>
      <c r="F64" s="1343"/>
      <c r="G64" s="1343">
        <v>0.900170081406926</v>
      </c>
      <c r="H64" s="1343">
        <v>0.8667354514420794</v>
      </c>
      <c r="I64" s="1343"/>
      <c r="J64" s="1343"/>
      <c r="K64" s="1343">
        <v>0.8592222617995622</v>
      </c>
      <c r="L64" s="1343">
        <v>1.0686448606949195</v>
      </c>
      <c r="M64" s="1343">
        <f>957/994.61</f>
        <v>0.9621861835292225</v>
      </c>
      <c r="N64" s="1343">
        <f>M64</f>
        <v>0.9621861835292225</v>
      </c>
      <c r="O64" s="1343">
        <f>M64</f>
        <v>0.9621861835292225</v>
      </c>
      <c r="P64" s="1343"/>
      <c r="Q64" s="1343"/>
      <c r="R64" s="1373">
        <f>O64</f>
        <v>0.9621861835292225</v>
      </c>
      <c r="S64" s="1660"/>
      <c r="T64" s="1373">
        <f>O64</f>
        <v>0.9621861835292225</v>
      </c>
      <c r="U64" s="1660"/>
      <c r="V64" s="1373">
        <f>O64</f>
        <v>0.9621861835292225</v>
      </c>
      <c r="W64" s="1660"/>
      <c r="X64" s="1747">
        <f>O64</f>
        <v>0.9621861835292225</v>
      </c>
      <c r="Y64" s="1455"/>
      <c r="Z64" s="1455"/>
      <c r="AA64" s="1455"/>
      <c r="AB64" s="1455"/>
    </row>
    <row r="65" spans="1:28" s="1458" customFormat="1" ht="23.25" customHeight="1">
      <c r="A65" s="1489" t="s">
        <v>1164</v>
      </c>
      <c r="B65" s="1669" t="s">
        <v>1182</v>
      </c>
      <c r="C65" s="1201">
        <v>505</v>
      </c>
      <c r="D65" s="1201">
        <v>600.54</v>
      </c>
      <c r="E65" s="1188">
        <v>614.74</v>
      </c>
      <c r="F65" s="1201">
        <v>700.3744930104181</v>
      </c>
      <c r="G65" s="1201">
        <v>624.1187999999999</v>
      </c>
      <c r="H65" s="1201">
        <v>715.264114445455</v>
      </c>
      <c r="I65" s="1201">
        <v>357.6320572227275</v>
      </c>
      <c r="J65" s="1201">
        <v>357.6320572227275</v>
      </c>
      <c r="K65" s="1201">
        <v>488.30048000000005</v>
      </c>
      <c r="L65" s="1201">
        <v>689.2949268691146</v>
      </c>
      <c r="M65" s="1201">
        <f>L65</f>
        <v>689.2949268691146</v>
      </c>
      <c r="N65" s="1187">
        <f>M65/2</f>
        <v>344.6474634345573</v>
      </c>
      <c r="O65" s="1187">
        <f>M65-N65</f>
        <v>344.6474634345573</v>
      </c>
      <c r="P65" s="1187"/>
      <c r="Q65" s="1201">
        <v>689.2949268691146</v>
      </c>
      <c r="R65" s="1187">
        <f>Q65/2</f>
        <v>344.6474634345573</v>
      </c>
      <c r="S65" s="1187"/>
      <c r="T65" s="1662">
        <f>Q65-R65</f>
        <v>344.6474634345573</v>
      </c>
      <c r="U65" s="1201">
        <v>689.2949268691146</v>
      </c>
      <c r="V65" s="1187">
        <f>U65/2</f>
        <v>344.6474634345573</v>
      </c>
      <c r="W65" s="1187"/>
      <c r="X65" s="1748">
        <f>U65-V65</f>
        <v>344.6474634345573</v>
      </c>
      <c r="Y65" s="1753"/>
      <c r="Z65" s="1753"/>
      <c r="AA65" s="1753"/>
      <c r="AB65" s="1753"/>
    </row>
    <row r="66" spans="1:28" s="1458" customFormat="1" ht="28.5" customHeight="1">
      <c r="A66" s="1489" t="s">
        <v>1165</v>
      </c>
      <c r="B66" s="1669" t="s">
        <v>1182</v>
      </c>
      <c r="C66" s="1196">
        <v>763</v>
      </c>
      <c r="D66" s="1196">
        <v>762.3</v>
      </c>
      <c r="E66" s="1188">
        <v>1064.75</v>
      </c>
      <c r="F66" s="1196">
        <v>1099.5731957403787</v>
      </c>
      <c r="G66" s="1196">
        <v>840.1876000000002</v>
      </c>
      <c r="H66" s="1201">
        <v>760.730604</v>
      </c>
      <c r="I66" s="1201">
        <v>380.365302</v>
      </c>
      <c r="J66" s="1201">
        <v>380.365302</v>
      </c>
      <c r="K66" s="1201">
        <v>1273.0877600000003</v>
      </c>
      <c r="L66" s="1201">
        <v>936.8219106157999</v>
      </c>
      <c r="M66" s="1201">
        <f>M68+M70</f>
        <v>871.6350999200004</v>
      </c>
      <c r="N66" s="1187">
        <f>N68+N70</f>
        <v>435.8175499600002</v>
      </c>
      <c r="O66" s="1187">
        <f>O68+O70</f>
        <v>435.8175499600002</v>
      </c>
      <c r="P66" s="1187"/>
      <c r="Q66" s="1187">
        <f>Q68+Q70</f>
        <v>897.7841529176004</v>
      </c>
      <c r="R66" s="1187">
        <f>R68+R70</f>
        <v>435.8175499600002</v>
      </c>
      <c r="S66" s="1660">
        <v>1.06</v>
      </c>
      <c r="T66" s="1187">
        <f>R66*1.06</f>
        <v>461.96660295760023</v>
      </c>
      <c r="U66" s="1187">
        <f>U68+U70</f>
        <v>947.0315360630805</v>
      </c>
      <c r="V66" s="1187">
        <f>V68+V70</f>
        <v>461.96660295760023</v>
      </c>
      <c r="W66" s="1660">
        <v>1.05</v>
      </c>
      <c r="X66" s="1511">
        <f>X68+X70</f>
        <v>485.06493310548024</v>
      </c>
      <c r="Y66" s="1753"/>
      <c r="Z66" s="1753"/>
      <c r="AA66" s="1753"/>
      <c r="AB66" s="1753"/>
    </row>
    <row r="67" spans="1:28" ht="18.75">
      <c r="A67" s="1167" t="s">
        <v>1166</v>
      </c>
      <c r="B67" s="127" t="s">
        <v>1182</v>
      </c>
      <c r="C67" s="135"/>
      <c r="D67" s="135"/>
      <c r="E67" s="153"/>
      <c r="F67" s="137"/>
      <c r="G67" s="137"/>
      <c r="H67" s="129"/>
      <c r="I67" s="129"/>
      <c r="J67" s="129"/>
      <c r="K67" s="129"/>
      <c r="L67" s="129"/>
      <c r="M67" s="138"/>
      <c r="N67" s="138"/>
      <c r="O67" s="138"/>
      <c r="P67" s="138"/>
      <c r="Q67" s="1219"/>
      <c r="R67" s="1667"/>
      <c r="S67" s="1219"/>
      <c r="T67" s="1219"/>
      <c r="U67" s="1219"/>
      <c r="V67" s="1219"/>
      <c r="W67" s="1667"/>
      <c r="X67" s="1514"/>
      <c r="Y67" s="1455"/>
      <c r="Z67" s="1455"/>
      <c r="AA67" s="1455"/>
      <c r="AB67" s="1455"/>
    </row>
    <row r="68" spans="1:28" ht="22.5" customHeight="1">
      <c r="A68" s="1167" t="s">
        <v>943</v>
      </c>
      <c r="B68" s="127" t="s">
        <v>1182</v>
      </c>
      <c r="C68" s="135">
        <v>763</v>
      </c>
      <c r="D68" s="135">
        <v>762.3</v>
      </c>
      <c r="E68" s="153">
        <v>1064.75</v>
      </c>
      <c r="F68" s="136">
        <v>760.1393157403786</v>
      </c>
      <c r="G68" s="136">
        <v>725.3199600000003</v>
      </c>
      <c r="H68" s="153">
        <v>760.730604</v>
      </c>
      <c r="I68" s="135">
        <v>380.365302</v>
      </c>
      <c r="J68" s="135">
        <v>380.365302</v>
      </c>
      <c r="K68" s="124">
        <v>1166.0673500000003</v>
      </c>
      <c r="L68" s="1401">
        <v>808.7426351993998</v>
      </c>
      <c r="M68" s="1663">
        <f>3153-'водоснабжение '!P94</f>
        <v>749.0712000000003</v>
      </c>
      <c r="N68" s="1663">
        <f>M68/2</f>
        <v>374.53560000000016</v>
      </c>
      <c r="O68" s="1199">
        <f>M68-N68</f>
        <v>374.53560000000016</v>
      </c>
      <c r="P68" s="1199"/>
      <c r="Q68" s="1219">
        <f>R68+T68</f>
        <v>771.5433360000004</v>
      </c>
      <c r="R68" s="1668">
        <f>O68</f>
        <v>374.53560000000016</v>
      </c>
      <c r="S68" s="1667"/>
      <c r="T68" s="1219">
        <f>R68*S66</f>
        <v>397.0077360000002</v>
      </c>
      <c r="U68" s="1219">
        <f>V68+X68</f>
        <v>813.8658588000004</v>
      </c>
      <c r="V68" s="1668">
        <f>T68</f>
        <v>397.0077360000002</v>
      </c>
      <c r="W68" s="1667"/>
      <c r="X68" s="1514">
        <f>V68*W66</f>
        <v>416.8581228000002</v>
      </c>
      <c r="Y68" s="1455"/>
      <c r="Z68" s="1455"/>
      <c r="AA68" s="1455"/>
      <c r="AB68" s="1455"/>
    </row>
    <row r="69" spans="1:28" ht="18.75" customHeight="1">
      <c r="A69" s="1167" t="s">
        <v>1295</v>
      </c>
      <c r="B69" s="127"/>
      <c r="C69" s="135"/>
      <c r="D69" s="135"/>
      <c r="E69" s="153"/>
      <c r="F69" s="136"/>
      <c r="G69" s="136"/>
      <c r="H69" s="153"/>
      <c r="I69" s="135"/>
      <c r="J69" s="135"/>
      <c r="K69" s="124"/>
      <c r="L69" s="1402">
        <v>0.016402903830535647</v>
      </c>
      <c r="M69" s="1664"/>
      <c r="N69" s="1664"/>
      <c r="O69" s="1665"/>
      <c r="P69" s="1665"/>
      <c r="Q69" s="1219"/>
      <c r="R69" s="1667"/>
      <c r="S69" s="1219"/>
      <c r="T69" s="1219"/>
      <c r="U69" s="1219"/>
      <c r="V69" s="1667"/>
      <c r="W69" s="1667"/>
      <c r="X69" s="1514"/>
      <c r="Y69" s="1455"/>
      <c r="Z69" s="1455"/>
      <c r="AA69" s="1455"/>
      <c r="AB69" s="1455"/>
    </row>
    <row r="70" spans="1:28" ht="19.5" customHeight="1">
      <c r="A70" s="1167" t="s">
        <v>1350</v>
      </c>
      <c r="B70" s="127" t="s">
        <v>1182</v>
      </c>
      <c r="C70" s="135"/>
      <c r="D70" s="135"/>
      <c r="E70" s="153"/>
      <c r="F70" s="136">
        <v>339.43388</v>
      </c>
      <c r="G70" s="136">
        <v>114.86764</v>
      </c>
      <c r="H70" s="129"/>
      <c r="I70" s="129"/>
      <c r="J70" s="129"/>
      <c r="K70" s="124">
        <v>107.02041</v>
      </c>
      <c r="L70" s="1401">
        <v>128.0792754164</v>
      </c>
      <c r="M70" s="1663">
        <f>'имуществ.комплекс'!H10</f>
        <v>122.56389992000001</v>
      </c>
      <c r="N70" s="1663">
        <f>M70/2</f>
        <v>61.281949960000006</v>
      </c>
      <c r="O70" s="1199">
        <f>M70-N70</f>
        <v>61.281949960000006</v>
      </c>
      <c r="P70" s="1199"/>
      <c r="Q70" s="1219">
        <f>R70+T70</f>
        <v>126.24081691760001</v>
      </c>
      <c r="R70" s="1667">
        <f>O70</f>
        <v>61.281949960000006</v>
      </c>
      <c r="S70" s="1219"/>
      <c r="T70" s="1219">
        <f>R70*S66</f>
        <v>64.95886695760001</v>
      </c>
      <c r="U70" s="1219">
        <f>V70+X70</f>
        <v>133.16567726308003</v>
      </c>
      <c r="V70" s="1667">
        <f>T70</f>
        <v>64.95886695760001</v>
      </c>
      <c r="W70" s="1667"/>
      <c r="X70" s="1514">
        <f>V70*W66</f>
        <v>68.20681030548002</v>
      </c>
      <c r="Y70" s="1455"/>
      <c r="Z70" s="1455"/>
      <c r="AA70" s="1455"/>
      <c r="AB70" s="1455"/>
    </row>
    <row r="71" spans="1:28" ht="19.5" customHeight="1">
      <c r="A71" s="1167" t="s">
        <v>1035</v>
      </c>
      <c r="B71" s="127"/>
      <c r="C71" s="135"/>
      <c r="D71" s="135"/>
      <c r="E71" s="153"/>
      <c r="F71" s="136"/>
      <c r="G71" s="136"/>
      <c r="H71" s="129"/>
      <c r="I71" s="129"/>
      <c r="J71" s="129"/>
      <c r="K71" s="124"/>
      <c r="L71" s="1403"/>
      <c r="M71" s="1404">
        <f>M68/M6</f>
        <v>0.7468307078763712</v>
      </c>
      <c r="N71" s="1404"/>
      <c r="O71" s="124"/>
      <c r="P71" s="124"/>
      <c r="Q71" s="1185"/>
      <c r="R71" s="1667"/>
      <c r="S71" s="1219"/>
      <c r="T71" s="1219"/>
      <c r="U71" s="1219"/>
      <c r="V71" s="1219"/>
      <c r="W71" s="1667"/>
      <c r="X71" s="1514"/>
      <c r="Y71" s="1455"/>
      <c r="Z71" s="1455"/>
      <c r="AA71" s="1455"/>
      <c r="AB71" s="1455"/>
    </row>
    <row r="72" spans="1:28" s="59" customFormat="1" ht="18.75">
      <c r="A72" s="1174" t="s">
        <v>1372</v>
      </c>
      <c r="B72" s="637" t="s">
        <v>1182</v>
      </c>
      <c r="C72" s="137">
        <v>698.7</v>
      </c>
      <c r="D72" s="137">
        <v>297</v>
      </c>
      <c r="E72" s="152">
        <v>733.65</v>
      </c>
      <c r="F72" s="137">
        <v>798.0441000000001</v>
      </c>
      <c r="G72" s="137">
        <v>798.365765670248</v>
      </c>
      <c r="H72" s="137">
        <v>829.2761124</v>
      </c>
      <c r="I72" s="137">
        <v>397.76121420000004</v>
      </c>
      <c r="J72" s="137">
        <v>431.51489819999995</v>
      </c>
      <c r="K72" s="137">
        <v>573.2689926816565</v>
      </c>
      <c r="L72" s="137">
        <v>939.2446</v>
      </c>
      <c r="M72" s="137">
        <f>M73</f>
        <v>1036.460606774121</v>
      </c>
      <c r="N72" s="137">
        <f>N73</f>
        <v>507.5713059618614</v>
      </c>
      <c r="O72" s="137">
        <f>O73</f>
        <v>528.8893008122596</v>
      </c>
      <c r="P72" s="137"/>
      <c r="Q72" s="1201">
        <f>R72+T72</f>
        <v>1038.1655677347908</v>
      </c>
      <c r="R72" s="1206">
        <f>0.04*1.18*33.18*R8</f>
        <v>531.8555677347908</v>
      </c>
      <c r="S72" s="1334"/>
      <c r="T72" s="1206">
        <v>506.31</v>
      </c>
      <c r="U72" s="1201">
        <f>V72+X72</f>
        <v>1015.8499999999999</v>
      </c>
      <c r="V72" s="1206">
        <v>506.32</v>
      </c>
      <c r="W72" s="1373"/>
      <c r="X72" s="1519">
        <v>509.53</v>
      </c>
      <c r="Y72" s="1597"/>
      <c r="Z72" s="1597"/>
      <c r="AA72" s="1597"/>
      <c r="AB72" s="1597"/>
    </row>
    <row r="73" spans="1:28" ht="18.75">
      <c r="A73" s="1167" t="s">
        <v>1379</v>
      </c>
      <c r="B73" s="127" t="s">
        <v>1182</v>
      </c>
      <c r="C73" s="135"/>
      <c r="D73" s="135">
        <v>297</v>
      </c>
      <c r="E73" s="153">
        <v>254.57540999999998</v>
      </c>
      <c r="F73" s="141"/>
      <c r="G73" s="136">
        <v>69.50054044000001</v>
      </c>
      <c r="H73" s="124">
        <v>120.49611239999999</v>
      </c>
      <c r="I73" s="135">
        <v>60.24805619999999</v>
      </c>
      <c r="J73" s="135">
        <v>60.24805619999999</v>
      </c>
      <c r="K73" s="124">
        <v>14.82212</v>
      </c>
      <c r="L73" s="136">
        <v>795.97</v>
      </c>
      <c r="M73" s="136">
        <f>N73+O73</f>
        <v>1036.460606774121</v>
      </c>
      <c r="N73" s="136">
        <f>38.28*0.04*N8</f>
        <v>507.5713059618614</v>
      </c>
      <c r="O73" s="136">
        <f>N73*1.042</f>
        <v>528.8893008122596</v>
      </c>
      <c r="P73" s="136"/>
      <c r="Q73" s="1210"/>
      <c r="R73" s="1667"/>
      <c r="S73" s="1219"/>
      <c r="T73" s="1219"/>
      <c r="U73" s="1219"/>
      <c r="V73" s="1219"/>
      <c r="W73" s="1667"/>
      <c r="X73" s="1514"/>
      <c r="Y73" s="1455"/>
      <c r="Z73" s="1455"/>
      <c r="AA73" s="1455"/>
      <c r="AB73" s="1455"/>
    </row>
    <row r="74" spans="1:28" s="59" customFormat="1" ht="21.75" customHeight="1">
      <c r="A74" s="1389" t="s">
        <v>1373</v>
      </c>
      <c r="B74" s="127" t="s">
        <v>1182</v>
      </c>
      <c r="C74" s="128">
        <v>138</v>
      </c>
      <c r="D74" s="128">
        <v>319.20616776297385</v>
      </c>
      <c r="E74" s="153">
        <v>566.39</v>
      </c>
      <c r="F74" s="130">
        <v>566.39</v>
      </c>
      <c r="G74" s="130">
        <v>468.466302505099</v>
      </c>
      <c r="H74" s="130">
        <v>440.78898805059424</v>
      </c>
      <c r="I74" s="137">
        <v>220.39449402529712</v>
      </c>
      <c r="J74" s="137">
        <v>220.39449402529712</v>
      </c>
      <c r="K74" s="130">
        <v>337.0617345609526</v>
      </c>
      <c r="L74" s="137">
        <v>454.9398332143288</v>
      </c>
      <c r="M74" s="137">
        <v>454.9398332143288</v>
      </c>
      <c r="N74" s="125">
        <v>227.4699166071644</v>
      </c>
      <c r="O74" s="125">
        <v>227.4699166071644</v>
      </c>
      <c r="P74" s="125"/>
      <c r="Q74" s="1201">
        <f>M74-0.022*Q65</f>
        <v>439.7753448232083</v>
      </c>
      <c r="R74" s="1206">
        <f>Q74/2</f>
        <v>219.88767241160414</v>
      </c>
      <c r="S74" s="1206"/>
      <c r="T74" s="1206">
        <f>Q74-R74</f>
        <v>219.88767241160414</v>
      </c>
      <c r="U74" s="1206">
        <f>Q74-0.022*U65</f>
        <v>424.61085643208776</v>
      </c>
      <c r="V74" s="1206">
        <f>U74/2</f>
        <v>212.30542821604388</v>
      </c>
      <c r="W74" s="1206"/>
      <c r="X74" s="1519">
        <f>U74-V74</f>
        <v>212.30542821604388</v>
      </c>
      <c r="Y74" s="1597"/>
      <c r="Z74" s="1597"/>
      <c r="AA74" s="1597"/>
      <c r="AB74" s="1597"/>
    </row>
    <row r="75" spans="1:28" s="59" customFormat="1" ht="18.75">
      <c r="A75" s="1163" t="s">
        <v>1158</v>
      </c>
      <c r="B75" s="637" t="s">
        <v>1182</v>
      </c>
      <c r="C75" s="128">
        <v>23896.110000000004</v>
      </c>
      <c r="D75" s="128">
        <v>24959.6173132</v>
      </c>
      <c r="E75" s="152">
        <v>31052.3</v>
      </c>
      <c r="F75" s="130">
        <v>27340.46</v>
      </c>
      <c r="G75" s="130">
        <v>29992.63823282324</v>
      </c>
      <c r="H75" s="130">
        <v>28416.167338556526</v>
      </c>
      <c r="I75" s="130">
        <v>13465.349224889187</v>
      </c>
      <c r="J75" s="130">
        <v>14950.81811366734</v>
      </c>
      <c r="K75" s="130">
        <v>22968.17546854654</v>
      </c>
      <c r="L75" s="130">
        <v>37882.76267134791</v>
      </c>
      <c r="M75" s="130">
        <f>M17+M18+M22+M29+M44+M52+M54+M58+M61+M65+M66+M72+M74</f>
        <v>30699.89885978392</v>
      </c>
      <c r="N75" s="130">
        <f>N17+N18+N22+N29+N44+N52+N54+N58+N61+N65+N66+N72+N74</f>
        <v>15014.88638955764</v>
      </c>
      <c r="O75" s="130">
        <f>O17+O18+O22+O29+O44+O52+O54+O58+O61+O65+O66+O72+O74</f>
        <v>15685.01247022628</v>
      </c>
      <c r="P75" s="130"/>
      <c r="Q75" s="1196">
        <f>Q12+Q61+Q65+Q66+Q72+Q74</f>
        <v>32113.852667559044</v>
      </c>
      <c r="R75" s="1196">
        <f>R12+R61+R65+R66+R72+R74</f>
        <v>15680.39649295325</v>
      </c>
      <c r="S75" s="1219"/>
      <c r="T75" s="1196">
        <f>T12+T61+T65+T66+T72+T74</f>
        <v>16433.45617460579</v>
      </c>
      <c r="U75" s="1196">
        <f>U12+U61+U65+U66+U72+U74</f>
        <v>33529.21824394992</v>
      </c>
      <c r="V75" s="1196">
        <f>V12+V61+V65+V66+V72+V74</f>
        <v>16425.88393041023</v>
      </c>
      <c r="W75" s="1667"/>
      <c r="X75" s="1513">
        <f>X12+X61+X65+X66+X72+X74</f>
        <v>17103.334313539694</v>
      </c>
      <c r="Y75" s="1597"/>
      <c r="Z75" s="1597"/>
      <c r="AA75" s="1597"/>
      <c r="AB75" s="1597"/>
    </row>
    <row r="76" spans="1:28" s="59" customFormat="1" ht="18.75">
      <c r="A76" s="1163"/>
      <c r="B76" s="127"/>
      <c r="C76" s="128"/>
      <c r="D76" s="128"/>
      <c r="E76" s="162"/>
      <c r="F76" s="130"/>
      <c r="G76" s="130"/>
      <c r="H76" s="1437">
        <v>26.874892267041687</v>
      </c>
      <c r="I76" s="130"/>
      <c r="J76" s="1437">
        <v>28.27979025614478</v>
      </c>
      <c r="K76" s="1437">
        <v>33.65353195800511</v>
      </c>
      <c r="L76" s="1437">
        <v>42.30141923940959</v>
      </c>
      <c r="M76" s="1437">
        <f>M75/M6</f>
        <v>30.608074635876292</v>
      </c>
      <c r="N76" s="1437">
        <f>N75/N6</f>
        <v>29.939952920354216</v>
      </c>
      <c r="O76" s="1437">
        <f>O75/O6</f>
        <v>31.276196351398365</v>
      </c>
      <c r="P76" s="1437"/>
      <c r="Q76" s="1196"/>
      <c r="R76" s="1667"/>
      <c r="S76" s="1219"/>
      <c r="T76" s="1219">
        <f>T75-16433.46</f>
        <v>-0.0038253942075243685</v>
      </c>
      <c r="U76" s="1219"/>
      <c r="V76" s="1219">
        <f>V75-16425.88</f>
        <v>0.003930410228349501</v>
      </c>
      <c r="W76" s="1667"/>
      <c r="X76" s="1514">
        <f>17103.33-X75</f>
        <v>-0.004313539691793267</v>
      </c>
      <c r="Y76" s="1597"/>
      <c r="Z76" s="1597"/>
      <c r="AA76" s="1597"/>
      <c r="AB76" s="1597"/>
    </row>
    <row r="77" spans="1:28" ht="18.75">
      <c r="A77" s="1163" t="s">
        <v>1169</v>
      </c>
      <c r="B77" s="127" t="s">
        <v>1182</v>
      </c>
      <c r="C77" s="128">
        <v>445.9</v>
      </c>
      <c r="D77" s="128">
        <v>834.35</v>
      </c>
      <c r="E77" s="153">
        <v>1915.18</v>
      </c>
      <c r="F77" s="130">
        <v>317.57</v>
      </c>
      <c r="G77" s="130">
        <v>2026.6102866678566</v>
      </c>
      <c r="H77" s="166">
        <v>0</v>
      </c>
      <c r="I77" s="166">
        <v>0</v>
      </c>
      <c r="J77" s="166">
        <v>0</v>
      </c>
      <c r="K77" s="130">
        <v>3647.3552366278227</v>
      </c>
      <c r="L77" s="130">
        <v>9541.202589882263</v>
      </c>
      <c r="M77" s="130"/>
      <c r="N77" s="130"/>
      <c r="O77" s="130"/>
      <c r="P77" s="130"/>
      <c r="Q77" s="1196"/>
      <c r="R77" s="1667"/>
      <c r="S77" s="1219"/>
      <c r="T77" s="1219"/>
      <c r="U77" s="1219"/>
      <c r="V77" s="1219"/>
      <c r="W77" s="1667"/>
      <c r="X77" s="1514"/>
      <c r="Y77" s="1455"/>
      <c r="Z77" s="1455"/>
      <c r="AA77" s="1455"/>
      <c r="AB77" s="1455"/>
    </row>
    <row r="78" spans="1:28" ht="50.25" customHeight="1">
      <c r="A78" s="1176" t="s">
        <v>580</v>
      </c>
      <c r="B78" s="127" t="s">
        <v>1182</v>
      </c>
      <c r="C78" s="135"/>
      <c r="D78" s="135"/>
      <c r="E78" s="153"/>
      <c r="F78" s="137"/>
      <c r="G78" s="135">
        <v>135.05704</v>
      </c>
      <c r="H78" s="135"/>
      <c r="I78" s="135"/>
      <c r="J78" s="135"/>
      <c r="K78" s="135"/>
      <c r="L78" s="135">
        <v>236.23199152542372</v>
      </c>
      <c r="M78" s="135"/>
      <c r="N78" s="135"/>
      <c r="O78" s="135"/>
      <c r="P78" s="135"/>
      <c r="Q78" s="1198"/>
      <c r="R78" s="1667"/>
      <c r="S78" s="1219"/>
      <c r="T78" s="1219"/>
      <c r="U78" s="1219"/>
      <c r="V78" s="1219"/>
      <c r="W78" s="1667"/>
      <c r="X78" s="1514"/>
      <c r="Y78" s="1455"/>
      <c r="Z78" s="1455"/>
      <c r="AA78" s="1455"/>
      <c r="AB78" s="1455"/>
    </row>
    <row r="79" spans="1:28" ht="42.75" customHeight="1">
      <c r="A79" s="1176" t="s">
        <v>855</v>
      </c>
      <c r="B79" s="127" t="s">
        <v>1182</v>
      </c>
      <c r="C79" s="135"/>
      <c r="D79" s="135"/>
      <c r="E79" s="153">
        <v>895.69</v>
      </c>
      <c r="F79" s="137">
        <v>211.4</v>
      </c>
      <c r="G79" s="135">
        <v>642.8071980512904</v>
      </c>
      <c r="H79" s="153">
        <v>0</v>
      </c>
      <c r="I79" s="135">
        <v>0</v>
      </c>
      <c r="J79" s="135">
        <v>0</v>
      </c>
      <c r="K79" s="135">
        <v>439.6316964321639</v>
      </c>
      <c r="L79" s="137">
        <v>723.5984207383666</v>
      </c>
      <c r="M79" s="137"/>
      <c r="N79" s="137"/>
      <c r="O79" s="137"/>
      <c r="P79" s="137"/>
      <c r="Q79" s="1201"/>
      <c r="R79" s="1667"/>
      <c r="S79" s="1219"/>
      <c r="T79" s="1219"/>
      <c r="U79" s="1219"/>
      <c r="V79" s="1219"/>
      <c r="W79" s="1667"/>
      <c r="X79" s="1514"/>
      <c r="Y79" s="1455"/>
      <c r="Z79" s="1455"/>
      <c r="AA79" s="1455"/>
      <c r="AB79" s="1455"/>
    </row>
    <row r="80" spans="1:28" ht="30.75" customHeight="1">
      <c r="A80" s="1177" t="s">
        <v>1171</v>
      </c>
      <c r="B80" s="127" t="s">
        <v>1182</v>
      </c>
      <c r="C80" s="135"/>
      <c r="D80" s="135"/>
      <c r="E80" s="153">
        <v>1019.49</v>
      </c>
      <c r="F80" s="137"/>
      <c r="G80" s="135">
        <v>1248.7460486165662</v>
      </c>
      <c r="H80" s="153">
        <v>0</v>
      </c>
      <c r="I80" s="135">
        <v>0</v>
      </c>
      <c r="J80" s="135">
        <v>0</v>
      </c>
      <c r="K80" s="135">
        <v>3207.7235401956586</v>
      </c>
      <c r="L80" s="135">
        <v>8341.414574552524</v>
      </c>
      <c r="M80" s="135"/>
      <c r="N80" s="135"/>
      <c r="O80" s="135"/>
      <c r="P80" s="135"/>
      <c r="Q80" s="1198"/>
      <c r="R80" s="1667"/>
      <c r="S80" s="1219"/>
      <c r="T80" s="1219"/>
      <c r="U80" s="1219"/>
      <c r="V80" s="1219"/>
      <c r="W80" s="1667"/>
      <c r="X80" s="1514"/>
      <c r="Y80" s="1455"/>
      <c r="Z80" s="1455"/>
      <c r="AA80" s="1455"/>
      <c r="AB80" s="1455"/>
    </row>
    <row r="81" spans="1:28" ht="28.5" customHeight="1">
      <c r="A81" s="1177" t="s">
        <v>1172</v>
      </c>
      <c r="B81" s="127" t="s">
        <v>1182</v>
      </c>
      <c r="C81" s="128">
        <v>0</v>
      </c>
      <c r="D81" s="128"/>
      <c r="E81" s="153"/>
      <c r="F81" s="130"/>
      <c r="G81" s="128"/>
      <c r="H81" s="129"/>
      <c r="I81" s="129"/>
      <c r="J81" s="129"/>
      <c r="K81" s="129"/>
      <c r="L81" s="129"/>
      <c r="M81" s="138"/>
      <c r="N81" s="138"/>
      <c r="O81" s="138"/>
      <c r="P81" s="138"/>
      <c r="Q81" s="1219"/>
      <c r="R81" s="1667"/>
      <c r="S81" s="1219"/>
      <c r="T81" s="1219"/>
      <c r="U81" s="1219"/>
      <c r="V81" s="1219"/>
      <c r="W81" s="1667"/>
      <c r="X81" s="1514"/>
      <c r="Y81" s="1455"/>
      <c r="Z81" s="1455"/>
      <c r="AA81" s="1455"/>
      <c r="AB81" s="1455"/>
    </row>
    <row r="82" spans="1:28" ht="24" customHeight="1">
      <c r="A82" s="1177" t="s">
        <v>1173</v>
      </c>
      <c r="B82" s="127" t="s">
        <v>1182</v>
      </c>
      <c r="C82" s="135"/>
      <c r="D82" s="135"/>
      <c r="E82" s="153"/>
      <c r="F82" s="137">
        <v>42.28</v>
      </c>
      <c r="G82" s="137"/>
      <c r="H82" s="153">
        <v>0</v>
      </c>
      <c r="I82" s="135">
        <v>0</v>
      </c>
      <c r="J82" s="135">
        <v>0</v>
      </c>
      <c r="K82" s="135"/>
      <c r="L82" s="135">
        <v>239.95760306594758</v>
      </c>
      <c r="M82" s="135"/>
      <c r="N82" s="135"/>
      <c r="O82" s="135"/>
      <c r="P82" s="135"/>
      <c r="Q82" s="1198"/>
      <c r="R82" s="1667"/>
      <c r="S82" s="1219"/>
      <c r="T82" s="1219"/>
      <c r="U82" s="1219"/>
      <c r="V82" s="1219"/>
      <c r="W82" s="1667"/>
      <c r="X82" s="1514"/>
      <c r="Y82" s="1455"/>
      <c r="Z82" s="1455"/>
      <c r="AA82" s="1455"/>
      <c r="AB82" s="1455"/>
    </row>
    <row r="83" spans="1:28" ht="17.25" customHeight="1">
      <c r="A83" s="1167" t="s">
        <v>1174</v>
      </c>
      <c r="B83" s="127" t="s">
        <v>1182</v>
      </c>
      <c r="C83" s="135"/>
      <c r="D83" s="135"/>
      <c r="E83" s="135"/>
      <c r="F83" s="137"/>
      <c r="G83" s="137"/>
      <c r="H83" s="153"/>
      <c r="I83" s="129"/>
      <c r="J83" s="129"/>
      <c r="K83" s="129"/>
      <c r="L83" s="129"/>
      <c r="M83" s="138"/>
      <c r="N83" s="138"/>
      <c r="O83" s="138"/>
      <c r="P83" s="138"/>
      <c r="Q83" s="1219"/>
      <c r="R83" s="1667"/>
      <c r="S83" s="1219"/>
      <c r="T83" s="1219"/>
      <c r="U83" s="1219"/>
      <c r="V83" s="1219"/>
      <c r="W83" s="1667"/>
      <c r="X83" s="1514"/>
      <c r="Y83" s="1455"/>
      <c r="Z83" s="1455"/>
      <c r="AA83" s="1455"/>
      <c r="AB83" s="1455"/>
    </row>
    <row r="84" spans="1:28" ht="17.25" customHeight="1" hidden="1">
      <c r="A84" s="1178" t="s">
        <v>1209</v>
      </c>
      <c r="B84" s="127" t="s">
        <v>1182</v>
      </c>
      <c r="C84" s="135"/>
      <c r="D84" s="135"/>
      <c r="E84" s="135"/>
      <c r="F84" s="137"/>
      <c r="G84" s="137"/>
      <c r="H84" s="153"/>
      <c r="I84" s="135"/>
      <c r="J84" s="135"/>
      <c r="K84" s="135"/>
      <c r="L84" s="135"/>
      <c r="M84" s="135"/>
      <c r="N84" s="135"/>
      <c r="O84" s="135"/>
      <c r="P84" s="135"/>
      <c r="Q84" s="1198"/>
      <c r="R84" s="1667"/>
      <c r="S84" s="1219"/>
      <c r="T84" s="1219"/>
      <c r="U84" s="1219"/>
      <c r="V84" s="1219"/>
      <c r="W84" s="1667"/>
      <c r="X84" s="1514"/>
      <c r="Y84" s="1455"/>
      <c r="Z84" s="1455"/>
      <c r="AA84" s="1455"/>
      <c r="AB84" s="1455"/>
    </row>
    <row r="85" spans="1:28" ht="56.25">
      <c r="A85" s="1167" t="s">
        <v>640</v>
      </c>
      <c r="B85" s="127" t="s">
        <v>1182</v>
      </c>
      <c r="C85" s="135"/>
      <c r="D85" s="135"/>
      <c r="E85" s="135"/>
      <c r="F85" s="137"/>
      <c r="G85" s="137"/>
      <c r="H85" s="130">
        <v>1880.88</v>
      </c>
      <c r="I85" s="137"/>
      <c r="J85" s="137"/>
      <c r="K85" s="137"/>
      <c r="L85" s="137">
        <v>1880.88</v>
      </c>
      <c r="M85" s="137">
        <v>1880.88</v>
      </c>
      <c r="N85" s="124">
        <f>M85/2</f>
        <v>940.44</v>
      </c>
      <c r="O85" s="124">
        <f>M85-N85</f>
        <v>940.44</v>
      </c>
      <c r="P85" s="124"/>
      <c r="Q85" s="137">
        <v>1880.88</v>
      </c>
      <c r="R85" s="124">
        <f>Q85/2</f>
        <v>940.44</v>
      </c>
      <c r="S85" s="124"/>
      <c r="T85" s="1219">
        <f>Q85-R85</f>
        <v>940.44</v>
      </c>
      <c r="U85" s="1219"/>
      <c r="V85" s="1219"/>
      <c r="W85" s="1667"/>
      <c r="X85" s="1514"/>
      <c r="Y85" s="1455"/>
      <c r="Z85" s="1455"/>
      <c r="AA85" s="1455"/>
      <c r="AB85" s="1455"/>
    </row>
    <row r="86" spans="1:28" ht="18.75">
      <c r="A86" s="1167"/>
      <c r="B86" s="127"/>
      <c r="C86" s="135"/>
      <c r="D86" s="135"/>
      <c r="E86" s="135"/>
      <c r="F86" s="137"/>
      <c r="G86" s="137"/>
      <c r="H86" s="130"/>
      <c r="I86" s="137"/>
      <c r="J86" s="137"/>
      <c r="K86" s="137"/>
      <c r="L86" s="137"/>
      <c r="M86" s="137">
        <f>M85/M6</f>
        <v>1.8752542372881358</v>
      </c>
      <c r="N86" s="124"/>
      <c r="O86" s="124"/>
      <c r="P86" s="124"/>
      <c r="Q86" s="137"/>
      <c r="R86" s="124"/>
      <c r="S86" s="124"/>
      <c r="T86" s="1219"/>
      <c r="U86" s="1219"/>
      <c r="V86" s="1219"/>
      <c r="W86" s="1667"/>
      <c r="X86" s="1514"/>
      <c r="Y86" s="1455"/>
      <c r="Z86" s="1455"/>
      <c r="AA86" s="1455"/>
      <c r="AB86" s="1455"/>
    </row>
    <row r="87" spans="1:28" ht="18.75">
      <c r="A87" s="1163" t="s">
        <v>1370</v>
      </c>
      <c r="B87" s="637" t="s">
        <v>1182</v>
      </c>
      <c r="C87" s="128">
        <v>24342.010000000006</v>
      </c>
      <c r="D87" s="128">
        <v>25793.9673132</v>
      </c>
      <c r="E87" s="152">
        <v>32967.48</v>
      </c>
      <c r="F87" s="130">
        <v>27658.03</v>
      </c>
      <c r="G87" s="130">
        <v>32019.248519491095</v>
      </c>
      <c r="H87" s="130">
        <v>30297.04733855653</v>
      </c>
      <c r="I87" s="130">
        <v>13465.349224889189</v>
      </c>
      <c r="J87" s="130">
        <v>16831.698113667342</v>
      </c>
      <c r="K87" s="130">
        <v>26615.530705174362</v>
      </c>
      <c r="L87" s="130">
        <v>49304.84526123018</v>
      </c>
      <c r="M87" s="130">
        <f>M85+M75</f>
        <v>32580.77885978392</v>
      </c>
      <c r="N87" s="130">
        <f>N85+N75</f>
        <v>15955.32638955764</v>
      </c>
      <c r="O87" s="130">
        <f>O85+O75</f>
        <v>16625.45247022628</v>
      </c>
      <c r="P87" s="130"/>
      <c r="Q87" s="130">
        <f>Q85+Q75</f>
        <v>33994.732667559045</v>
      </c>
      <c r="R87" s="130">
        <f>R85+R75</f>
        <v>16620.83649295325</v>
      </c>
      <c r="S87" s="1219"/>
      <c r="T87" s="130">
        <f>T85+T75</f>
        <v>17373.89617460579</v>
      </c>
      <c r="U87" s="130">
        <f>U85+U75</f>
        <v>33529.21824394992</v>
      </c>
      <c r="V87" s="130">
        <f>V85+V75</f>
        <v>16425.88393041023</v>
      </c>
      <c r="W87" s="130"/>
      <c r="X87" s="1749">
        <f>X85+X75</f>
        <v>17103.334313539694</v>
      </c>
      <c r="Y87" s="1455"/>
      <c r="Z87" s="1455"/>
      <c r="AA87" s="1455"/>
      <c r="AB87" s="1455"/>
    </row>
    <row r="88" spans="1:28" ht="20.25" customHeight="1">
      <c r="A88" s="1163" t="s">
        <v>1363</v>
      </c>
      <c r="B88" s="127"/>
      <c r="C88" s="128"/>
      <c r="D88" s="128"/>
      <c r="E88" s="163"/>
      <c r="F88" s="130"/>
      <c r="G88" s="130"/>
      <c r="H88" s="137"/>
      <c r="I88" s="137"/>
      <c r="J88" s="137"/>
      <c r="K88" s="137"/>
      <c r="L88" s="1685">
        <f>M87-L87</f>
        <v>-16724.066401446256</v>
      </c>
      <c r="M88" s="137"/>
      <c r="N88" s="137"/>
      <c r="O88" s="137"/>
      <c r="P88" s="137"/>
      <c r="Q88" s="1201"/>
      <c r="R88" s="1667">
        <f>O90*R6-R87</f>
        <v>4.615977273027966</v>
      </c>
      <c r="S88" s="1219"/>
      <c r="T88" s="1219"/>
      <c r="U88" s="1219"/>
      <c r="V88" s="1219">
        <f>T90*V6-V87</f>
        <v>948.0122441955609</v>
      </c>
      <c r="W88" s="1667"/>
      <c r="X88" s="1514"/>
      <c r="Y88" s="1337">
        <f>X88+V88+T88+R88</f>
        <v>952.6282214685889</v>
      </c>
      <c r="Z88" s="1455"/>
      <c r="AA88" s="1455"/>
      <c r="AB88" s="1455"/>
    </row>
    <row r="89" spans="1:28" ht="20.25" customHeight="1">
      <c r="A89" s="1630" t="s">
        <v>1371</v>
      </c>
      <c r="B89" s="147"/>
      <c r="C89" s="148"/>
      <c r="D89" s="148"/>
      <c r="E89" s="149"/>
      <c r="F89" s="164"/>
      <c r="G89" s="164"/>
      <c r="H89" s="165"/>
      <c r="I89" s="165"/>
      <c r="J89" s="165"/>
      <c r="K89" s="165"/>
      <c r="L89" s="165"/>
      <c r="M89" s="165">
        <f>M87+M88</f>
        <v>32580.77885978392</v>
      </c>
      <c r="N89" s="165">
        <f>N87+N88</f>
        <v>15955.32638955764</v>
      </c>
      <c r="O89" s="165">
        <f>O87+O88</f>
        <v>16625.45247022628</v>
      </c>
      <c r="P89" s="165"/>
      <c r="Q89" s="165">
        <f>Q87+Q88</f>
        <v>33994.732667559045</v>
      </c>
      <c r="R89" s="165">
        <f>R87+R88</f>
        <v>16625.45247022628</v>
      </c>
      <c r="S89" s="1219"/>
      <c r="T89" s="165">
        <f>T87+T88</f>
        <v>17373.89617460579</v>
      </c>
      <c r="U89" s="165">
        <f>U87+U88</f>
        <v>33529.21824394992</v>
      </c>
      <c r="V89" s="165">
        <f>V87+V88</f>
        <v>17373.89617460579</v>
      </c>
      <c r="W89" s="1667"/>
      <c r="X89" s="1750">
        <f>X87+X88</f>
        <v>17103.334313539694</v>
      </c>
      <c r="Y89" s="1455"/>
      <c r="Z89" s="1455"/>
      <c r="AA89" s="1455"/>
      <c r="AB89" s="1455"/>
    </row>
    <row r="90" spans="1:28" ht="19.5" thickBot="1">
      <c r="A90" s="1390" t="s">
        <v>1353</v>
      </c>
      <c r="B90" s="1391" t="s">
        <v>946</v>
      </c>
      <c r="C90" s="1392">
        <v>20.541780590717305</v>
      </c>
      <c r="D90" s="1392">
        <v>23.030327958214286</v>
      </c>
      <c r="E90" s="1393">
        <v>33.15</v>
      </c>
      <c r="F90" s="1394">
        <v>24.85</v>
      </c>
      <c r="G90" s="1394">
        <v>33.9662839204531</v>
      </c>
      <c r="H90" s="1394">
        <v>28.653754517006227</v>
      </c>
      <c r="I90" s="1394">
        <v>25.4699942779386</v>
      </c>
      <c r="J90" s="1394">
        <v>31.83751475607385</v>
      </c>
      <c r="K90" s="1394">
        <v>38.997725979256174</v>
      </c>
      <c r="L90" s="1394">
        <v>55.055776898419765</v>
      </c>
      <c r="M90" s="1394">
        <f>M89/M6</f>
        <v>32.483328873164425</v>
      </c>
      <c r="N90" s="1394">
        <f>N89/N6</f>
        <v>31.81520715764235</v>
      </c>
      <c r="O90" s="1394">
        <f>O89/O6</f>
        <v>33.1514505886865</v>
      </c>
      <c r="P90" s="1394"/>
      <c r="Q90" s="1394">
        <f>Q89/Q6</f>
        <v>33.89305350703793</v>
      </c>
      <c r="R90" s="1394">
        <f>R89/R6</f>
        <v>33.1514505886865</v>
      </c>
      <c r="S90" s="1219"/>
      <c r="T90" s="1394">
        <f>T89/T6</f>
        <v>34.64386076691085</v>
      </c>
      <c r="U90" s="1394">
        <f>U89/U6</f>
        <v>33.42893144960112</v>
      </c>
      <c r="V90" s="1687">
        <f>V89/V6</f>
        <v>34.64386076691085</v>
      </c>
      <c r="W90" s="1688"/>
      <c r="X90" s="1751">
        <f>X89/X6</f>
        <v>34.10435556039819</v>
      </c>
      <c r="Y90" s="1455"/>
      <c r="Z90" s="1455"/>
      <c r="AA90" s="1455"/>
      <c r="AB90" s="1455"/>
    </row>
    <row r="91" spans="1:24" ht="19.5" thickBot="1">
      <c r="A91" s="1695" t="s">
        <v>1378</v>
      </c>
      <c r="B91" s="1696"/>
      <c r="C91" s="1697"/>
      <c r="D91" s="1697"/>
      <c r="E91" s="1698"/>
      <c r="F91" s="1699"/>
      <c r="G91" s="1699"/>
      <c r="H91" s="1699"/>
      <c r="I91" s="1699"/>
      <c r="J91" s="1699"/>
      <c r="K91" s="1699"/>
      <c r="L91" s="1699"/>
      <c r="M91" s="1699"/>
      <c r="N91" s="1699">
        <f>31.84*1.18</f>
        <v>37.5712</v>
      </c>
      <c r="O91" s="1699">
        <f>1.18*33.18</f>
        <v>39.1524</v>
      </c>
      <c r="P91" s="1699"/>
      <c r="Q91" s="1699"/>
      <c r="R91" s="1699">
        <f>1.18*33.18</f>
        <v>39.1524</v>
      </c>
      <c r="S91" s="1700"/>
      <c r="T91" s="1699">
        <f>1.18*34.64</f>
        <v>40.8752</v>
      </c>
      <c r="U91" s="1699"/>
      <c r="V91" s="1701">
        <f>1.18*34.64</f>
        <v>40.8752</v>
      </c>
      <c r="W91" s="1702"/>
      <c r="X91" s="1701">
        <f>1.18*34.1</f>
        <v>40.238</v>
      </c>
    </row>
    <row r="92" spans="1:24" ht="35.25" customHeight="1">
      <c r="A92" s="1676"/>
      <c r="B92" s="1676"/>
      <c r="C92" s="1676"/>
      <c r="D92" s="1676"/>
      <c r="E92" s="1676"/>
      <c r="F92" s="1676"/>
      <c r="G92" s="1676"/>
      <c r="H92" s="1676"/>
      <c r="I92" s="1676"/>
      <c r="J92" s="1676"/>
      <c r="K92" s="1676"/>
      <c r="L92" s="1676"/>
      <c r="M92" s="1436"/>
      <c r="N92" s="1593"/>
      <c r="O92" s="1686">
        <f>O90/N90</f>
        <v>1.0420001486843429</v>
      </c>
      <c r="P92" s="1686"/>
      <c r="Q92" s="1684"/>
      <c r="R92" s="1666"/>
      <c r="T92" s="1674">
        <f>T90/R90</f>
        <v>1.0450179449684067</v>
      </c>
      <c r="W92" s="1666"/>
      <c r="X92" s="1675">
        <f>X90/V90</f>
        <v>0.9844271049886001</v>
      </c>
    </row>
    <row r="93" spans="13:16" ht="18.75">
      <c r="M93" s="142"/>
      <c r="O93" s="142"/>
      <c r="P93" s="142"/>
    </row>
    <row r="94" ht="18.75">
      <c r="T94" s="179"/>
    </row>
    <row r="95" spans="9:17" ht="18.75">
      <c r="I95" s="142"/>
      <c r="J95" s="142"/>
      <c r="K95" s="142"/>
      <c r="L95" s="142"/>
      <c r="M95" s="142"/>
      <c r="N95" s="142"/>
      <c r="O95" s="142"/>
      <c r="P95" s="142"/>
      <c r="Q95" s="142"/>
    </row>
    <row r="96" spans="9:17" ht="18.75">
      <c r="I96" s="142"/>
      <c r="J96" s="142"/>
      <c r="K96" s="142"/>
      <c r="L96" s="142"/>
      <c r="M96" s="142"/>
      <c r="N96" s="142"/>
      <c r="O96" s="142"/>
      <c r="P96" s="142"/>
      <c r="Q96" s="142"/>
    </row>
    <row r="97" spans="9:17" ht="18.75">
      <c r="I97" s="142"/>
      <c r="J97" s="142"/>
      <c r="K97" s="142"/>
      <c r="L97" s="142"/>
      <c r="M97" s="142"/>
      <c r="N97" s="142"/>
      <c r="O97" s="142"/>
      <c r="P97" s="142"/>
      <c r="Q97" s="142"/>
    </row>
  </sheetData>
  <sheetProtection/>
  <printOptions/>
  <pageMargins left="0.5905511811023623" right="0.1968503937007874" top="0.5905511811023623" bottom="0.03937007874015748" header="0.5905511811023623" footer="0.5905511811023623"/>
  <pageSetup fitToHeight="1" fitToWidth="1" horizontalDpi="600" verticalDpi="600" orientation="portrait" paperSize="9" scale="2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31"/>
  <sheetViews>
    <sheetView zoomScalePageLayoutView="0" workbookViewId="0" topLeftCell="A101">
      <selection activeCell="G121" sqref="G121"/>
    </sheetView>
  </sheetViews>
  <sheetFormatPr defaultColWidth="8.8515625" defaultRowHeight="12.75"/>
  <cols>
    <col min="1" max="1" width="42.28125" style="1" customWidth="1"/>
    <col min="2" max="2" width="10.140625" style="1" customWidth="1"/>
    <col min="3" max="3" width="21.28125" style="978" hidden="1" customWidth="1"/>
    <col min="4" max="4" width="16.8515625" style="978" customWidth="1"/>
    <col min="5" max="5" width="15.8515625" style="978" customWidth="1"/>
    <col min="6" max="6" width="18.8515625" style="978" customWidth="1"/>
    <col min="7" max="7" width="25.140625" style="978" customWidth="1"/>
    <col min="8" max="8" width="67.8515625" style="1" customWidth="1"/>
    <col min="9" max="9" width="12.57421875" style="1" customWidth="1"/>
    <col min="10" max="10" width="11.28125" style="1" customWidth="1"/>
    <col min="11" max="11" width="8.8515625" style="1" customWidth="1"/>
    <col min="12" max="12" width="22.57421875" style="1" customWidth="1"/>
    <col min="13" max="16384" width="8.8515625" style="1" customWidth="1"/>
  </cols>
  <sheetData>
    <row r="1" spans="1:10" ht="51.75" customHeight="1" thickBot="1">
      <c r="A1" s="1773" t="s">
        <v>1390</v>
      </c>
      <c r="B1" s="1773"/>
      <c r="C1" s="1773"/>
      <c r="D1" s="1773"/>
      <c r="E1" s="1773"/>
      <c r="F1" s="1773"/>
      <c r="G1" s="1773"/>
      <c r="H1" s="1773"/>
      <c r="I1" s="1">
        <v>1.067</v>
      </c>
      <c r="J1" s="1">
        <v>1.045</v>
      </c>
    </row>
    <row r="2" spans="1:8" ht="57.75" thickBot="1">
      <c r="A2" s="850" t="s">
        <v>1157</v>
      </c>
      <c r="B2" s="851" t="s">
        <v>1200</v>
      </c>
      <c r="C2" s="945" t="s">
        <v>278</v>
      </c>
      <c r="D2" s="945" t="s">
        <v>277</v>
      </c>
      <c r="E2" s="945" t="s">
        <v>279</v>
      </c>
      <c r="F2" s="1229" t="s">
        <v>1349</v>
      </c>
      <c r="G2" s="1229" t="s">
        <v>212</v>
      </c>
      <c r="H2" s="605" t="s">
        <v>214</v>
      </c>
    </row>
    <row r="3" spans="1:8" ht="41.25" customHeight="1">
      <c r="A3" s="860" t="s">
        <v>1238</v>
      </c>
      <c r="B3" s="17" t="s">
        <v>1202</v>
      </c>
      <c r="C3" s="946"/>
      <c r="D3" s="946"/>
      <c r="E3" s="946"/>
      <c r="F3" s="1230"/>
      <c r="G3" s="1230"/>
      <c r="H3" s="861"/>
    </row>
    <row r="4" spans="1:8" ht="27.75" customHeight="1">
      <c r="A4" s="114" t="s">
        <v>453</v>
      </c>
      <c r="B4" s="853" t="s">
        <v>1202</v>
      </c>
      <c r="C4" s="947">
        <v>1179.9013442400003</v>
      </c>
      <c r="D4" s="947">
        <f>D5</f>
        <v>1107.46419</v>
      </c>
      <c r="E4" s="947">
        <f>E5</f>
        <v>1262.98317127332</v>
      </c>
      <c r="F4" s="947">
        <f>F5</f>
        <v>672.3863699999999</v>
      </c>
      <c r="G4" s="956">
        <f>G5</f>
        <v>672.3863699999999</v>
      </c>
      <c r="H4" s="13"/>
    </row>
    <row r="5" spans="1:10" ht="31.5" customHeight="1">
      <c r="A5" s="4" t="s">
        <v>1233</v>
      </c>
      <c r="B5" s="18" t="s">
        <v>1202</v>
      </c>
      <c r="C5" s="948">
        <v>1179.9013442400003</v>
      </c>
      <c r="D5" s="948">
        <v>1107.46419</v>
      </c>
      <c r="E5" s="948">
        <f>D5*1.082*1.054</f>
        <v>1262.98317127332</v>
      </c>
      <c r="F5" s="1232">
        <v>672.3863699999999</v>
      </c>
      <c r="G5" s="1260">
        <v>672.3863699999999</v>
      </c>
      <c r="H5" s="70" t="s">
        <v>865</v>
      </c>
      <c r="I5" s="603">
        <v>1.0817053728644173</v>
      </c>
      <c r="J5" s="603">
        <v>1.0544437661887713</v>
      </c>
    </row>
    <row r="6" spans="1:10" ht="40.5">
      <c r="A6" s="7" t="s">
        <v>1037</v>
      </c>
      <c r="B6" s="18" t="s">
        <v>1202</v>
      </c>
      <c r="C6" s="947">
        <v>139.9250169</v>
      </c>
      <c r="D6" s="947">
        <f>D7+D8+D9+D10</f>
        <v>125.12748999999998</v>
      </c>
      <c r="E6" s="947">
        <f>E7+E8+E9+E10</f>
        <v>288.6373909869067</v>
      </c>
      <c r="F6" s="947">
        <f>F7+F8+F9+F10</f>
        <v>8.61858</v>
      </c>
      <c r="G6" s="956">
        <f>G7+G8+G9+G10</f>
        <v>121.51643000000001</v>
      </c>
      <c r="H6" s="70"/>
      <c r="J6" s="582"/>
    </row>
    <row r="7" spans="1:8" ht="52.5" customHeight="1">
      <c r="A7" s="4" t="s">
        <v>454</v>
      </c>
      <c r="B7" s="72" t="s">
        <v>1202</v>
      </c>
      <c r="C7" s="948">
        <v>42.0365769</v>
      </c>
      <c r="D7" s="948">
        <v>19.04582</v>
      </c>
      <c r="E7" s="948">
        <f>162.38906*I1*J1/1.18</f>
        <v>153.44596418296607</v>
      </c>
      <c r="F7" s="1232">
        <v>5.12777</v>
      </c>
      <c r="G7" s="1260">
        <v>7.75894</v>
      </c>
      <c r="H7" s="583" t="s">
        <v>60</v>
      </c>
    </row>
    <row r="8" spans="1:8" ht="58.5" customHeight="1">
      <c r="A8" s="4" t="s">
        <v>455</v>
      </c>
      <c r="B8" s="72" t="s">
        <v>1202</v>
      </c>
      <c r="C8" s="949"/>
      <c r="D8" s="949"/>
      <c r="E8" s="948">
        <f>41995.91*I1*J1/1000/1.18</f>
        <v>39.68310982088983</v>
      </c>
      <c r="F8" s="1232">
        <v>0.7108099999999999</v>
      </c>
      <c r="G8" s="1260">
        <v>1.38509</v>
      </c>
      <c r="H8" s="583" t="s">
        <v>1394</v>
      </c>
    </row>
    <row r="9" spans="1:8" ht="54" customHeight="1">
      <c r="A9" s="4" t="s">
        <v>456</v>
      </c>
      <c r="B9" s="72" t="s">
        <v>1202</v>
      </c>
      <c r="C9" s="948">
        <v>97.88844</v>
      </c>
      <c r="D9" s="948">
        <v>98.88166999999999</v>
      </c>
      <c r="E9" s="948">
        <f>36*2.74393*J1/1.18</f>
        <v>87.48020898305084</v>
      </c>
      <c r="F9" s="1232">
        <v>2.78</v>
      </c>
      <c r="G9" s="1260">
        <v>92.13524000000001</v>
      </c>
      <c r="H9" s="583" t="s">
        <v>860</v>
      </c>
    </row>
    <row r="10" spans="1:8" ht="45" customHeight="1">
      <c r="A10" s="1258" t="s">
        <v>215</v>
      </c>
      <c r="B10" s="30" t="s">
        <v>1202</v>
      </c>
      <c r="C10" s="950"/>
      <c r="D10" s="948">
        <v>7.2</v>
      </c>
      <c r="E10" s="948">
        <f>D10*I1*J1</f>
        <v>8.028108</v>
      </c>
      <c r="F10" s="1232"/>
      <c r="G10" s="1260">
        <v>20.23716</v>
      </c>
      <c r="H10" s="66" t="s">
        <v>339</v>
      </c>
    </row>
    <row r="11" spans="1:8" ht="33" customHeight="1">
      <c r="A11" s="5" t="s">
        <v>280</v>
      </c>
      <c r="B11" s="849" t="s">
        <v>1202</v>
      </c>
      <c r="C11" s="948">
        <v>9.22958928</v>
      </c>
      <c r="D11" s="947">
        <v>24.654669999999996</v>
      </c>
      <c r="E11" s="947">
        <f>D11*I1*J1</f>
        <v>27.49032687004999</v>
      </c>
      <c r="F11" s="1231"/>
      <c r="G11" s="1261"/>
      <c r="H11" s="15" t="s">
        <v>1246</v>
      </c>
    </row>
    <row r="12" spans="1:11" ht="45" customHeight="1">
      <c r="A12" s="5" t="s">
        <v>466</v>
      </c>
      <c r="B12" s="30" t="s">
        <v>1202</v>
      </c>
      <c r="C12" s="951">
        <v>348.9844868</v>
      </c>
      <c r="D12" s="947">
        <v>77.35994600000001</v>
      </c>
      <c r="E12" s="947">
        <f>628.4951975786/1.18</f>
        <v>532.6230487954238</v>
      </c>
      <c r="F12" s="1231">
        <f>1.87+37.28161</f>
        <v>39.15161</v>
      </c>
      <c r="G12" s="1261">
        <f>126.18413-4.4696</f>
        <v>121.71453</v>
      </c>
      <c r="H12" s="14" t="s">
        <v>802</v>
      </c>
      <c r="J12" s="3"/>
      <c r="K12" s="3"/>
    </row>
    <row r="13" spans="1:11" ht="27.75" customHeight="1">
      <c r="A13" s="5" t="s">
        <v>458</v>
      </c>
      <c r="B13" s="30" t="s">
        <v>1202</v>
      </c>
      <c r="C13" s="947">
        <v>5.47856672</v>
      </c>
      <c r="D13" s="947">
        <v>2.60872</v>
      </c>
      <c r="E13" s="947">
        <f>D13*I1*J1</f>
        <v>2.9087619307999995</v>
      </c>
      <c r="F13" s="1231"/>
      <c r="G13" s="1261">
        <v>3.4368</v>
      </c>
      <c r="H13" s="66" t="s">
        <v>862</v>
      </c>
      <c r="J13" s="482"/>
      <c r="K13" s="3"/>
    </row>
    <row r="14" spans="1:8" ht="26.25" customHeight="1">
      <c r="A14" s="5" t="s">
        <v>467</v>
      </c>
      <c r="B14" s="42" t="s">
        <v>1202</v>
      </c>
      <c r="C14" s="947">
        <v>769.0199016</v>
      </c>
      <c r="D14" s="947">
        <v>751.28212</v>
      </c>
      <c r="E14" s="947">
        <f>D14*I1*J1</f>
        <v>837.6908330317998</v>
      </c>
      <c r="F14" s="1231">
        <v>336</v>
      </c>
      <c r="G14" s="1261">
        <v>504</v>
      </c>
      <c r="H14" s="66" t="s">
        <v>213</v>
      </c>
    </row>
    <row r="15" spans="1:8" ht="30" customHeight="1" hidden="1">
      <c r="A15" s="5" t="s">
        <v>636</v>
      </c>
      <c r="B15" s="42" t="s">
        <v>1202</v>
      </c>
      <c r="C15" s="947"/>
      <c r="D15" s="947"/>
      <c r="E15" s="947"/>
      <c r="F15" s="1231"/>
      <c r="G15" s="1261"/>
      <c r="H15" s="66"/>
    </row>
    <row r="16" spans="1:10" ht="48.75" customHeight="1">
      <c r="A16" s="5" t="s">
        <v>1248</v>
      </c>
      <c r="B16" s="42" t="s">
        <v>1202</v>
      </c>
      <c r="C16" s="947">
        <v>0</v>
      </c>
      <c r="D16" s="947">
        <v>2.4246700000000003</v>
      </c>
      <c r="E16" s="947">
        <f>2.7*J1</f>
        <v>2.8215</v>
      </c>
      <c r="F16" s="1231">
        <v>1.19698</v>
      </c>
      <c r="G16" s="1261">
        <v>1.87567</v>
      </c>
      <c r="H16" s="14" t="s">
        <v>952</v>
      </c>
      <c r="I16" s="1">
        <f>15*180</f>
        <v>2700</v>
      </c>
      <c r="J16" s="1">
        <f>I16*J1</f>
        <v>2821.5</v>
      </c>
    </row>
    <row r="17" spans="1:8" ht="33.75" customHeight="1">
      <c r="A17" s="5" t="s">
        <v>468</v>
      </c>
      <c r="B17" s="42" t="s">
        <v>1202</v>
      </c>
      <c r="C17" s="947">
        <v>1.253408</v>
      </c>
      <c r="D17" s="947">
        <v>1.196</v>
      </c>
      <c r="E17" s="947">
        <f>D17*I1*J1</f>
        <v>1.3335579399999997</v>
      </c>
      <c r="F17" s="1231">
        <v>0.598</v>
      </c>
      <c r="G17" s="1261">
        <v>0.8930000000009386</v>
      </c>
      <c r="H17" s="14" t="s">
        <v>340</v>
      </c>
    </row>
    <row r="18" spans="1:8" ht="21" customHeight="1">
      <c r="A18" s="5" t="s">
        <v>460</v>
      </c>
      <c r="B18" s="42" t="s">
        <v>1202</v>
      </c>
      <c r="C18" s="947">
        <v>16.209841152542374</v>
      </c>
      <c r="D18" s="947">
        <v>7.147209999999999</v>
      </c>
      <c r="E18" s="947">
        <f>D18*I1*J1</f>
        <v>7.969246358149998</v>
      </c>
      <c r="F18" s="1231">
        <v>7.0598600000000005</v>
      </c>
      <c r="G18" s="1261">
        <v>8.22775</v>
      </c>
      <c r="H18" s="66" t="s">
        <v>470</v>
      </c>
    </row>
    <row r="19" spans="1:8" ht="29.25" customHeight="1">
      <c r="A19" s="5" t="s">
        <v>341</v>
      </c>
      <c r="B19" s="42" t="s">
        <v>1202</v>
      </c>
      <c r="C19" s="947"/>
      <c r="D19" s="947">
        <v>61.57</v>
      </c>
      <c r="E19" s="947">
        <f>D19*I1*J1</f>
        <v>68.65147354999999</v>
      </c>
      <c r="F19" s="1231"/>
      <c r="G19" s="1261">
        <v>4.37</v>
      </c>
      <c r="H19" s="66" t="s">
        <v>863</v>
      </c>
    </row>
    <row r="20" spans="1:8" ht="24.75" customHeight="1">
      <c r="A20" s="5" t="s">
        <v>461</v>
      </c>
      <c r="B20" s="42" t="s">
        <v>1202</v>
      </c>
      <c r="C20" s="950">
        <v>1.9</v>
      </c>
      <c r="D20" s="947">
        <v>0</v>
      </c>
      <c r="E20" s="947">
        <f>C20</f>
        <v>1.9</v>
      </c>
      <c r="F20" s="1231">
        <v>3.44</v>
      </c>
      <c r="G20" s="1261">
        <v>3.44</v>
      </c>
      <c r="H20" s="13"/>
    </row>
    <row r="21" spans="1:9" ht="36.75" customHeight="1">
      <c r="A21" s="5" t="s">
        <v>342</v>
      </c>
      <c r="B21" s="42" t="s">
        <v>1202</v>
      </c>
      <c r="C21" s="947">
        <v>3.162</v>
      </c>
      <c r="D21" s="947">
        <v>0</v>
      </c>
      <c r="E21" s="948">
        <f>(15.8+8.4)*I1*J1</f>
        <v>26.983362999999997</v>
      </c>
      <c r="F21" s="1232"/>
      <c r="G21" s="1260"/>
      <c r="H21" s="583" t="s">
        <v>861</v>
      </c>
      <c r="I21" s="3"/>
    </row>
    <row r="22" spans="1:9" ht="28.5" customHeight="1">
      <c r="A22" s="5" t="s">
        <v>463</v>
      </c>
      <c r="B22" s="42" t="s">
        <v>1202</v>
      </c>
      <c r="C22" s="947">
        <v>23.9556204</v>
      </c>
      <c r="D22" s="947">
        <v>11.3457</v>
      </c>
      <c r="E22" s="947">
        <v>33.7668193220339</v>
      </c>
      <c r="F22" s="1231">
        <v>3.89648</v>
      </c>
      <c r="G22" s="1261">
        <v>14.09923</v>
      </c>
      <c r="H22" s="66" t="s">
        <v>12</v>
      </c>
      <c r="I22" s="3"/>
    </row>
    <row r="23" spans="1:10" ht="24.75" customHeight="1">
      <c r="A23" s="5" t="s">
        <v>464</v>
      </c>
      <c r="B23" s="42" t="s">
        <v>1202</v>
      </c>
      <c r="C23" s="947">
        <v>2.7872100000000004</v>
      </c>
      <c r="D23" s="947">
        <v>1.1561199999999998</v>
      </c>
      <c r="E23" s="947">
        <f>D23*1.064*1.074</f>
        <v>1.3211399443199998</v>
      </c>
      <c r="F23" s="1231">
        <v>2.31224</v>
      </c>
      <c r="G23" s="1261">
        <v>2.31224</v>
      </c>
      <c r="H23" s="66" t="s">
        <v>343</v>
      </c>
      <c r="I23" s="8">
        <v>1.064</v>
      </c>
      <c r="J23" s="1">
        <v>1.074</v>
      </c>
    </row>
    <row r="24" spans="1:8" ht="27">
      <c r="A24" s="1259" t="s">
        <v>465</v>
      </c>
      <c r="B24" s="42" t="s">
        <v>1202</v>
      </c>
      <c r="C24" s="950"/>
      <c r="D24" s="947">
        <v>10.671759999999999</v>
      </c>
      <c r="E24" s="947">
        <f>D24*I1*J1</f>
        <v>11.899172476399999</v>
      </c>
      <c r="F24" s="1231">
        <v>2.0596200000000002</v>
      </c>
      <c r="G24" s="1261"/>
      <c r="H24" s="66" t="s">
        <v>339</v>
      </c>
    </row>
    <row r="25" spans="1:8" ht="25.5" customHeight="1">
      <c r="A25" s="1259" t="s">
        <v>216</v>
      </c>
      <c r="B25" s="42" t="s">
        <v>1202</v>
      </c>
      <c r="C25" s="950"/>
      <c r="D25" s="947"/>
      <c r="E25" s="947"/>
      <c r="F25" s="1231"/>
      <c r="G25" s="1261">
        <v>3.54865</v>
      </c>
      <c r="H25" s="66"/>
    </row>
    <row r="26" spans="1:10" ht="39" customHeight="1">
      <c r="A26" s="5" t="s">
        <v>1249</v>
      </c>
      <c r="B26" s="42" t="s">
        <v>1202</v>
      </c>
      <c r="C26" s="947">
        <v>70.4835096</v>
      </c>
      <c r="D26" s="947">
        <v>50.975260000000006</v>
      </c>
      <c r="E26" s="947">
        <f>'имуществ.комплекс'!F27*I1*J1</f>
        <v>48.605526235234215</v>
      </c>
      <c r="F26" s="1231">
        <v>19.430670000000003</v>
      </c>
      <c r="G26" s="1261">
        <v>30.47352</v>
      </c>
      <c r="H26" s="14" t="s">
        <v>951</v>
      </c>
      <c r="I26" s="3"/>
      <c r="J26" s="3"/>
    </row>
    <row r="27" spans="1:11" ht="33" customHeight="1">
      <c r="A27" s="5" t="s">
        <v>164</v>
      </c>
      <c r="B27" s="42" t="s">
        <v>1202</v>
      </c>
      <c r="C27" s="947">
        <v>21.31531392</v>
      </c>
      <c r="D27" s="947">
        <v>20.33904</v>
      </c>
      <c r="E27" s="947">
        <f>D27*I1*J1</f>
        <v>22.678334685599996</v>
      </c>
      <c r="F27" s="1231">
        <v>10.16952</v>
      </c>
      <c r="G27" s="1261">
        <v>15.25428</v>
      </c>
      <c r="H27" s="69" t="s">
        <v>329</v>
      </c>
      <c r="I27" s="65"/>
      <c r="J27" s="482"/>
      <c r="K27" s="9"/>
    </row>
    <row r="28" spans="1:10" ht="14.25" hidden="1">
      <c r="A28" s="5" t="s">
        <v>1197</v>
      </c>
      <c r="B28" s="42" t="s">
        <v>1202</v>
      </c>
      <c r="C28" s="947"/>
      <c r="D28" s="947"/>
      <c r="E28" s="947"/>
      <c r="F28" s="1231"/>
      <c r="G28" s="1231"/>
      <c r="H28" s="15"/>
      <c r="I28" s="3"/>
      <c r="J28" s="3"/>
    </row>
    <row r="29" spans="1:11" ht="31.5" customHeight="1" thickBot="1">
      <c r="A29" s="862" t="s">
        <v>473</v>
      </c>
      <c r="B29" s="863" t="s">
        <v>1202</v>
      </c>
      <c r="C29" s="952">
        <v>2593.6058086125427</v>
      </c>
      <c r="D29" s="952">
        <f>SUM(D7:D27)+D5</f>
        <v>2255.3228959999997</v>
      </c>
      <c r="E29" s="952">
        <f>SUM(E7:E27)+E5</f>
        <v>3180.2636664000383</v>
      </c>
      <c r="F29" s="952">
        <f>SUM(F7:F27)+F5</f>
        <v>1106.3199299999999</v>
      </c>
      <c r="G29" s="952">
        <f>SUM(G7:G27)+G5</f>
        <v>1507.548470000001</v>
      </c>
      <c r="H29" s="864"/>
      <c r="I29" s="9">
        <v>1512.018070000001</v>
      </c>
      <c r="J29" s="3">
        <f>I29-G29</f>
        <v>4.4695999999999</v>
      </c>
      <c r="K29" s="3"/>
    </row>
    <row r="30" spans="1:8" ht="8.25" customHeight="1" thickBot="1">
      <c r="A30" s="21"/>
      <c r="B30" s="21"/>
      <c r="C30" s="953"/>
      <c r="D30" s="953"/>
      <c r="E30" s="953"/>
      <c r="F30" s="953"/>
      <c r="G30" s="953"/>
      <c r="H30" s="41"/>
    </row>
    <row r="31" spans="1:8" ht="38.25" customHeight="1">
      <c r="A31" s="18" t="s">
        <v>1157</v>
      </c>
      <c r="B31" s="18" t="s">
        <v>1200</v>
      </c>
      <c r="C31" s="954" t="s">
        <v>632</v>
      </c>
      <c r="D31" s="954" t="s">
        <v>277</v>
      </c>
      <c r="E31" s="954" t="s">
        <v>279</v>
      </c>
      <c r="F31" s="1229" t="s">
        <v>1299</v>
      </c>
      <c r="G31" s="1229" t="s">
        <v>212</v>
      </c>
      <c r="H31" s="441" t="s">
        <v>1229</v>
      </c>
    </row>
    <row r="32" spans="1:8" ht="32.25" customHeight="1">
      <c r="A32" s="852" t="s">
        <v>474</v>
      </c>
      <c r="B32" s="18" t="s">
        <v>1202</v>
      </c>
      <c r="C32" s="954"/>
      <c r="D32" s="954"/>
      <c r="E32" s="954"/>
      <c r="F32" s="954"/>
      <c r="G32" s="954"/>
      <c r="H32" s="441"/>
    </row>
    <row r="33" spans="1:8" ht="27" customHeight="1">
      <c r="A33" s="865" t="s">
        <v>1164</v>
      </c>
      <c r="B33" s="18" t="s">
        <v>1202</v>
      </c>
      <c r="C33" s="955">
        <v>26.104</v>
      </c>
      <c r="D33" s="955">
        <v>26.1036</v>
      </c>
      <c r="E33" s="955">
        <v>8.7011</v>
      </c>
      <c r="F33" s="955">
        <v>8.7011</v>
      </c>
      <c r="G33" s="1262">
        <v>8.7011</v>
      </c>
      <c r="H33" s="629" t="s">
        <v>1244</v>
      </c>
    </row>
    <row r="34" spans="1:8" ht="36.75" customHeight="1">
      <c r="A34" s="846" t="s">
        <v>453</v>
      </c>
      <c r="B34" s="18" t="s">
        <v>1202</v>
      </c>
      <c r="C34" s="947">
        <v>641.4058293006</v>
      </c>
      <c r="D34" s="947">
        <f>D35</f>
        <v>744.7204800000001</v>
      </c>
      <c r="E34" s="947">
        <f>E35</f>
        <v>849.6224025891842</v>
      </c>
      <c r="F34" s="947">
        <f>F35</f>
        <v>381.45486</v>
      </c>
      <c r="G34" s="956">
        <f>G35</f>
        <v>381.45486</v>
      </c>
      <c r="H34" s="866"/>
    </row>
    <row r="35" spans="1:10" ht="46.5" customHeight="1">
      <c r="A35" s="847" t="s">
        <v>1233</v>
      </c>
      <c r="B35" s="18" t="s">
        <v>1202</v>
      </c>
      <c r="C35" s="948">
        <v>641.4058293006</v>
      </c>
      <c r="D35" s="948">
        <v>744.7204800000001</v>
      </c>
      <c r="E35" s="948">
        <f>D35*1.082*1.0544</f>
        <v>849.6224025891842</v>
      </c>
      <c r="F35" s="948">
        <v>381.45486</v>
      </c>
      <c r="G35" s="957">
        <v>381.45486</v>
      </c>
      <c r="H35" s="854" t="s">
        <v>217</v>
      </c>
      <c r="I35" s="582">
        <v>1.0817053728644173</v>
      </c>
      <c r="J35" s="582">
        <v>1.0544437661887713</v>
      </c>
    </row>
    <row r="36" spans="1:8" ht="31.5" customHeight="1">
      <c r="A36" s="846" t="s">
        <v>1038</v>
      </c>
      <c r="B36" s="18" t="s">
        <v>1202</v>
      </c>
      <c r="C36" s="947">
        <v>288.77486992</v>
      </c>
      <c r="D36" s="956">
        <f>D37+D38+D39+D40+D41+D42</f>
        <v>168.34703000000002</v>
      </c>
      <c r="E36" s="956">
        <f>E37+E38+E39+E40+E41+E42</f>
        <v>365.1828053765677</v>
      </c>
      <c r="F36" s="956">
        <f>F37+F38+F39+F40+F41+F42</f>
        <v>19.13822</v>
      </c>
      <c r="G36" s="956">
        <f>G37+G38+G39+G40+G41+G42</f>
        <v>157.80132</v>
      </c>
      <c r="H36" s="174"/>
    </row>
    <row r="37" spans="1:8" ht="56.25" customHeight="1">
      <c r="A37" s="847" t="s">
        <v>454</v>
      </c>
      <c r="B37" s="18" t="s">
        <v>1202</v>
      </c>
      <c r="C37" s="947">
        <v>158.67090991999999</v>
      </c>
      <c r="D37" s="957">
        <v>36.89571</v>
      </c>
      <c r="E37" s="947">
        <f>216.68995*I1*J1/1.18</f>
        <v>204.75639372817795</v>
      </c>
      <c r="F37" s="947">
        <v>14.00565</v>
      </c>
      <c r="G37" s="958">
        <v>42.69146</v>
      </c>
      <c r="H37" s="855" t="s">
        <v>60</v>
      </c>
    </row>
    <row r="38" spans="1:8" ht="27" hidden="1">
      <c r="A38" s="856" t="s">
        <v>637</v>
      </c>
      <c r="B38" s="18"/>
      <c r="C38" s="947"/>
      <c r="D38" s="957">
        <v>0</v>
      </c>
      <c r="E38" s="947"/>
      <c r="F38" s="947"/>
      <c r="G38" s="947"/>
      <c r="H38" s="629"/>
    </row>
    <row r="39" spans="1:8" ht="51.75" customHeight="1">
      <c r="A39" s="847" t="s">
        <v>455</v>
      </c>
      <c r="B39" s="18" t="s">
        <v>1202</v>
      </c>
      <c r="C39" s="947"/>
      <c r="D39" s="957">
        <v>1.3820000000000001</v>
      </c>
      <c r="E39" s="958">
        <f>35887.28/1000*I1*J1/1.18</f>
        <v>33.910894499322026</v>
      </c>
      <c r="F39" s="958">
        <v>0.22757</v>
      </c>
      <c r="G39" s="958">
        <v>1.36159</v>
      </c>
      <c r="H39" s="855" t="s">
        <v>1394</v>
      </c>
    </row>
    <row r="40" spans="1:9" ht="69.75" customHeight="1">
      <c r="A40" s="847" t="s">
        <v>456</v>
      </c>
      <c r="B40" s="18" t="s">
        <v>1202</v>
      </c>
      <c r="C40" s="959">
        <v>128.00796</v>
      </c>
      <c r="D40" s="957">
        <v>114.26932000000001</v>
      </c>
      <c r="E40" s="960">
        <f>42*2.74393*I1*J1/1.18</f>
        <v>108.8982801490678</v>
      </c>
      <c r="F40" s="958">
        <v>4.905</v>
      </c>
      <c r="G40" s="958">
        <v>84.51686000000001</v>
      </c>
      <c r="H40" s="855" t="s">
        <v>860</v>
      </c>
      <c r="I40" s="604">
        <v>2875</v>
      </c>
    </row>
    <row r="41" spans="1:8" ht="27" customHeight="1">
      <c r="A41" s="847" t="s">
        <v>218</v>
      </c>
      <c r="B41" s="18" t="s">
        <v>1202</v>
      </c>
      <c r="C41" s="948">
        <v>2.096</v>
      </c>
      <c r="D41" s="957">
        <v>0</v>
      </c>
      <c r="E41" s="947">
        <v>0</v>
      </c>
      <c r="F41" s="947"/>
      <c r="G41" s="958">
        <v>29.23141</v>
      </c>
      <c r="H41" s="629"/>
    </row>
    <row r="42" spans="1:8" ht="21.75" customHeight="1">
      <c r="A42" s="847" t="s">
        <v>1063</v>
      </c>
      <c r="B42" s="18" t="s">
        <v>1202</v>
      </c>
      <c r="C42" s="947"/>
      <c r="D42" s="948">
        <v>15.8</v>
      </c>
      <c r="E42" s="947">
        <f>D42*I1*J1</f>
        <v>17.617237</v>
      </c>
      <c r="F42" s="947"/>
      <c r="G42" s="947"/>
      <c r="H42" s="848" t="s">
        <v>1246</v>
      </c>
    </row>
    <row r="43" spans="1:8" ht="40.5">
      <c r="A43" s="849" t="s">
        <v>1245</v>
      </c>
      <c r="B43" s="18" t="s">
        <v>1202</v>
      </c>
      <c r="C43" s="947">
        <v>15.4144556</v>
      </c>
      <c r="D43" s="947">
        <v>24.402710000000003</v>
      </c>
      <c r="E43" s="947">
        <f>D43*I1*J1</f>
        <v>27.209387690649997</v>
      </c>
      <c r="F43" s="947"/>
      <c r="G43" s="947"/>
      <c r="H43" s="848" t="s">
        <v>1246</v>
      </c>
    </row>
    <row r="44" spans="1:8" ht="33.75" customHeight="1">
      <c r="A44" s="849" t="s">
        <v>475</v>
      </c>
      <c r="B44" s="18" t="s">
        <v>1202</v>
      </c>
      <c r="C44" s="947">
        <v>296.1</v>
      </c>
      <c r="D44" s="947">
        <v>296.1</v>
      </c>
      <c r="E44" s="947">
        <f>D44*I1*J1</f>
        <v>330.1559415</v>
      </c>
      <c r="F44" s="947">
        <v>148.05</v>
      </c>
      <c r="G44" s="947">
        <v>222.075</v>
      </c>
      <c r="H44" s="627" t="s">
        <v>476</v>
      </c>
    </row>
    <row r="45" spans="1:8" ht="28.5" customHeight="1">
      <c r="A45" s="849" t="s">
        <v>463</v>
      </c>
      <c r="B45" s="18" t="s">
        <v>1202</v>
      </c>
      <c r="C45" s="947">
        <v>24.137012000000002</v>
      </c>
      <c r="D45" s="947">
        <v>7.83796</v>
      </c>
      <c r="E45" s="947">
        <v>21.4082210991</v>
      </c>
      <c r="F45" s="947">
        <v>0.56</v>
      </c>
      <c r="G45" s="947">
        <v>6.040569999999999</v>
      </c>
      <c r="H45" s="867" t="s">
        <v>1156</v>
      </c>
    </row>
    <row r="46" spans="1:19" ht="47.25" customHeight="1">
      <c r="A46" s="849" t="s">
        <v>477</v>
      </c>
      <c r="B46" s="18" t="s">
        <v>1202</v>
      </c>
      <c r="C46" s="947">
        <v>1321.9592796</v>
      </c>
      <c r="D46" s="947">
        <f>0.3+407.88225+0.117</f>
        <v>408.29925000000003</v>
      </c>
      <c r="E46" s="960"/>
      <c r="F46" s="960">
        <v>83.53240000000001</v>
      </c>
      <c r="G46" s="960">
        <f>3.46+253.8465+4.65431</f>
        <v>261.96081</v>
      </c>
      <c r="H46" s="629" t="s">
        <v>954</v>
      </c>
      <c r="I46" s="1">
        <v>1392.173559322034</v>
      </c>
      <c r="J46" s="1">
        <v>4.654311401038285</v>
      </c>
      <c r="S46" s="1" t="s">
        <v>1073</v>
      </c>
    </row>
    <row r="47" spans="1:9" ht="32.25" customHeight="1">
      <c r="A47" s="849" t="s">
        <v>458</v>
      </c>
      <c r="B47" s="18" t="s">
        <v>1202</v>
      </c>
      <c r="C47" s="947">
        <v>3.95306648</v>
      </c>
      <c r="D47" s="947">
        <v>4.40366</v>
      </c>
      <c r="E47" s="947">
        <f>D47*I1*J1</f>
        <v>4.910146954899999</v>
      </c>
      <c r="F47" s="947"/>
      <c r="G47" s="947">
        <v>2.33247</v>
      </c>
      <c r="H47" s="629" t="s">
        <v>479</v>
      </c>
      <c r="I47" s="1">
        <v>209.36864406779662</v>
      </c>
    </row>
    <row r="48" spans="1:9" ht="40.5">
      <c r="A48" s="849" t="s">
        <v>480</v>
      </c>
      <c r="B48" s="18" t="s">
        <v>1202</v>
      </c>
      <c r="C48" s="947">
        <v>4.8125</v>
      </c>
      <c r="D48" s="947">
        <v>3.5114799999999997</v>
      </c>
      <c r="E48" s="947">
        <f>3.6*J1</f>
        <v>3.762</v>
      </c>
      <c r="F48" s="947">
        <v>1.64289</v>
      </c>
      <c r="G48" s="947">
        <v>2.54781</v>
      </c>
      <c r="H48" s="629" t="s">
        <v>953</v>
      </c>
      <c r="I48" s="1">
        <f>3600/180</f>
        <v>20</v>
      </c>
    </row>
    <row r="49" spans="1:8" ht="30.75" customHeight="1" hidden="1">
      <c r="A49" s="849" t="s">
        <v>281</v>
      </c>
      <c r="B49" s="18" t="s">
        <v>1202</v>
      </c>
      <c r="C49" s="947"/>
      <c r="D49" s="947"/>
      <c r="E49" s="947"/>
      <c r="F49" s="947"/>
      <c r="G49" s="947"/>
      <c r="H49" s="857"/>
    </row>
    <row r="50" spans="1:9" ht="28.5" customHeight="1">
      <c r="A50" s="849" t="s">
        <v>481</v>
      </c>
      <c r="B50" s="18" t="s">
        <v>1202</v>
      </c>
      <c r="C50" s="947">
        <v>45.459806508474585</v>
      </c>
      <c r="D50" s="947">
        <v>48.49734000000001</v>
      </c>
      <c r="E50" s="947">
        <f>62.29336/1.18*J1</f>
        <v>55.16657728813559</v>
      </c>
      <c r="F50" s="947">
        <v>20.58747</v>
      </c>
      <c r="G50" s="1263">
        <v>40.89171</v>
      </c>
      <c r="H50" s="857" t="s">
        <v>326</v>
      </c>
      <c r="I50" s="1">
        <f>D50*I1*J1</f>
        <v>54.0752615601</v>
      </c>
    </row>
    <row r="51" spans="1:8" ht="31.5" customHeight="1">
      <c r="A51" s="849" t="s">
        <v>462</v>
      </c>
      <c r="B51" s="18" t="s">
        <v>1202</v>
      </c>
      <c r="C51" s="947">
        <v>12.4097</v>
      </c>
      <c r="D51" s="947">
        <v>25.256550000000004</v>
      </c>
      <c r="E51" s="947">
        <f>(30+6+15)</f>
        <v>51</v>
      </c>
      <c r="F51" s="947">
        <v>24.92465</v>
      </c>
      <c r="G51" s="947">
        <v>36.291650000000004</v>
      </c>
      <c r="H51" s="868" t="s">
        <v>896</v>
      </c>
    </row>
    <row r="52" spans="1:10" ht="36" customHeight="1">
      <c r="A52" s="849" t="s">
        <v>464</v>
      </c>
      <c r="B52" s="18" t="s">
        <v>1202</v>
      </c>
      <c r="C52" s="960">
        <v>7.99164</v>
      </c>
      <c r="D52" s="960">
        <v>23.98949</v>
      </c>
      <c r="E52" s="960">
        <f>D52*I52*J52</f>
        <v>27.413653844640002</v>
      </c>
      <c r="F52" s="960">
        <v>5.491569999999999</v>
      </c>
      <c r="G52" s="960">
        <v>7.81478</v>
      </c>
      <c r="H52" s="628" t="s">
        <v>327</v>
      </c>
      <c r="I52" s="1">
        <v>1.064</v>
      </c>
      <c r="J52" s="1">
        <v>1.074</v>
      </c>
    </row>
    <row r="53" spans="1:8" ht="27" customHeight="1">
      <c r="A53" s="849" t="s">
        <v>461</v>
      </c>
      <c r="B53" s="18" t="s">
        <v>1202</v>
      </c>
      <c r="C53" s="947">
        <v>0.85374</v>
      </c>
      <c r="D53" s="947">
        <v>0.685</v>
      </c>
      <c r="E53" s="947">
        <f>D53*I1*J1</f>
        <v>0.763785275</v>
      </c>
      <c r="F53" s="947">
        <v>3.173</v>
      </c>
      <c r="G53" s="947">
        <v>3.173</v>
      </c>
      <c r="H53" s="628" t="s">
        <v>469</v>
      </c>
    </row>
    <row r="54" spans="1:8" ht="27" hidden="1">
      <c r="A54" s="849" t="s">
        <v>636</v>
      </c>
      <c r="B54" s="18"/>
      <c r="C54" s="947"/>
      <c r="D54" s="947"/>
      <c r="E54" s="947"/>
      <c r="F54" s="947"/>
      <c r="G54" s="947"/>
      <c r="H54" s="857"/>
    </row>
    <row r="55" spans="1:8" ht="32.25" customHeight="1" hidden="1">
      <c r="A55" s="849" t="s">
        <v>465</v>
      </c>
      <c r="B55" s="18" t="s">
        <v>1202</v>
      </c>
      <c r="C55" s="947"/>
      <c r="D55" s="947"/>
      <c r="E55" s="947"/>
      <c r="F55" s="947"/>
      <c r="G55" s="947"/>
      <c r="H55" s="857" t="s">
        <v>1240</v>
      </c>
    </row>
    <row r="56" spans="1:8" ht="48.75" customHeight="1">
      <c r="A56" s="849" t="s">
        <v>1249</v>
      </c>
      <c r="B56" s="18" t="s">
        <v>1202</v>
      </c>
      <c r="C56" s="960">
        <v>21.2091096</v>
      </c>
      <c r="D56" s="960">
        <v>22.002299999999995</v>
      </c>
      <c r="E56" s="960">
        <f>'имуществ.комплекс'!F28*'цеховые затраты  (2)'!I1*'цеховые затраты  (2)'!J1</f>
        <v>24.172393329000283</v>
      </c>
      <c r="F56" s="960">
        <v>10.67211</v>
      </c>
      <c r="G56" s="960">
        <v>14.609109999999998</v>
      </c>
      <c r="H56" s="629" t="s">
        <v>951</v>
      </c>
    </row>
    <row r="57" spans="1:8" ht="23.25" customHeight="1" hidden="1">
      <c r="A57" s="849" t="s">
        <v>472</v>
      </c>
      <c r="B57" s="18" t="s">
        <v>1202</v>
      </c>
      <c r="C57" s="947">
        <v>1.572</v>
      </c>
      <c r="D57" s="947"/>
      <c r="E57" s="947"/>
      <c r="F57" s="947"/>
      <c r="G57" s="947"/>
      <c r="H57" s="629" t="s">
        <v>457</v>
      </c>
    </row>
    <row r="58" spans="1:8" ht="27">
      <c r="A58" s="849" t="s">
        <v>459</v>
      </c>
      <c r="B58" s="18" t="s">
        <v>1202</v>
      </c>
      <c r="C58" s="947">
        <v>1.580384</v>
      </c>
      <c r="D58" s="947">
        <v>1.508</v>
      </c>
      <c r="E58" s="947">
        <f>D58*I1*J1</f>
        <v>1.6814426199999999</v>
      </c>
      <c r="F58" s="947">
        <v>0.754</v>
      </c>
      <c r="G58" s="947">
        <v>1.131</v>
      </c>
      <c r="H58" s="629" t="s">
        <v>328</v>
      </c>
    </row>
    <row r="59" spans="1:8" ht="36" customHeight="1">
      <c r="A59" s="849" t="s">
        <v>164</v>
      </c>
      <c r="B59" s="18" t="s">
        <v>1202</v>
      </c>
      <c r="C59" s="947">
        <v>21.31531392</v>
      </c>
      <c r="D59" s="947">
        <v>20.33904</v>
      </c>
      <c r="E59" s="947">
        <f>D59*I1*J1</f>
        <v>22.678334685599996</v>
      </c>
      <c r="F59" s="947">
        <v>10.16952</v>
      </c>
      <c r="G59" s="947">
        <v>15.25428</v>
      </c>
      <c r="H59" s="629" t="s">
        <v>329</v>
      </c>
    </row>
    <row r="60" spans="1:8" ht="28.5" customHeight="1">
      <c r="A60" s="869" t="s">
        <v>282</v>
      </c>
      <c r="B60" s="18" t="s">
        <v>1202</v>
      </c>
      <c r="C60" s="947"/>
      <c r="D60" s="947">
        <v>35.44827</v>
      </c>
      <c r="E60" s="947">
        <f>D60*I1*J1</f>
        <v>39.52535277405</v>
      </c>
      <c r="F60" s="947">
        <v>3.33939</v>
      </c>
      <c r="G60" s="947">
        <v>4.25439</v>
      </c>
      <c r="H60" s="174"/>
    </row>
    <row r="61" spans="1:10" ht="32.25" customHeight="1">
      <c r="A61" s="172" t="s">
        <v>330</v>
      </c>
      <c r="B61" s="858" t="s">
        <v>1202</v>
      </c>
      <c r="C61" s="961">
        <v>2735.0527069290747</v>
      </c>
      <c r="D61" s="961">
        <f>SUM(D37:D60)+D33+D34</f>
        <v>1861.4521600000003</v>
      </c>
      <c r="E61" s="961">
        <f>SUM(E37:E60)+E33+E34</f>
        <v>1833.3535450268278</v>
      </c>
      <c r="F61" s="961">
        <f>SUM(F37:F60)+F33+F34</f>
        <v>722.19118</v>
      </c>
      <c r="G61" s="961">
        <f>SUM(G37:G60)+G33+G34</f>
        <v>1166.33386</v>
      </c>
      <c r="H61" s="859"/>
      <c r="I61" s="3">
        <v>1161.6832799999984</v>
      </c>
      <c r="J61" s="3">
        <f>G61-I61</f>
        <v>4.6505800000015824</v>
      </c>
    </row>
    <row r="62" spans="1:8" ht="23.25" customHeight="1">
      <c r="A62" s="1774" t="s">
        <v>478</v>
      </c>
      <c r="B62" s="1774"/>
      <c r="C62" s="1774"/>
      <c r="D62" s="1774"/>
      <c r="E62" s="1774"/>
      <c r="F62" s="1774"/>
      <c r="G62" s="1774"/>
      <c r="H62" s="1774"/>
    </row>
    <row r="63" spans="1:8" ht="24" customHeight="1" thickBot="1">
      <c r="A63" s="24" t="s">
        <v>482</v>
      </c>
      <c r="B63" s="25"/>
      <c r="C63" s="962"/>
      <c r="D63" s="962"/>
      <c r="E63" s="962"/>
      <c r="F63" s="962"/>
      <c r="G63" s="962"/>
      <c r="H63" s="25"/>
    </row>
    <row r="64" spans="1:8" ht="27.75" customHeight="1">
      <c r="A64" s="1266" t="s">
        <v>1157</v>
      </c>
      <c r="B64" s="1267" t="s">
        <v>1200</v>
      </c>
      <c r="C64" s="1268"/>
      <c r="D64" s="1268"/>
      <c r="E64" s="1268"/>
      <c r="F64" s="1264" t="s">
        <v>1299</v>
      </c>
      <c r="G64" s="1264" t="s">
        <v>212</v>
      </c>
      <c r="H64" s="1238" t="s">
        <v>1229</v>
      </c>
    </row>
    <row r="65" spans="1:11" ht="23.25" customHeight="1">
      <c r="A65" s="874" t="s">
        <v>222</v>
      </c>
      <c r="B65" s="18" t="s">
        <v>1202</v>
      </c>
      <c r="C65" s="955">
        <v>228.27</v>
      </c>
      <c r="D65" s="955">
        <v>771.0162599999999</v>
      </c>
      <c r="E65" s="955">
        <f>'имуществ.комплекс'!I23+'имуществ.комплекс'!I22+'имуществ.комплекс'!I21+'имуществ.комплекс'!I20+'имуществ.комплекс'!I24</f>
        <v>818.8096261779499</v>
      </c>
      <c r="F65" s="1233">
        <v>324.65894</v>
      </c>
      <c r="G65" s="1233">
        <v>490.36699999999996</v>
      </c>
      <c r="H65" s="14" t="s">
        <v>799</v>
      </c>
      <c r="K65" s="8"/>
    </row>
    <row r="66" spans="1:8" ht="18" customHeight="1">
      <c r="A66" s="6" t="s">
        <v>483</v>
      </c>
      <c r="B66" s="18" t="s">
        <v>1202</v>
      </c>
      <c r="C66" s="955">
        <v>916.3400974000001</v>
      </c>
      <c r="D66" s="955">
        <v>811.4056999999999</v>
      </c>
      <c r="E66" s="955">
        <f>1038.81610169492*J1*I1</f>
        <v>1158.2955356313612</v>
      </c>
      <c r="F66" s="1233">
        <v>392.00712</v>
      </c>
      <c r="G66" s="1233">
        <v>624.9899099999999</v>
      </c>
      <c r="H66" s="14" t="s">
        <v>331</v>
      </c>
    </row>
    <row r="67" spans="1:9" ht="18.75" customHeight="1">
      <c r="A67" s="11" t="s">
        <v>223</v>
      </c>
      <c r="B67" s="18" t="s">
        <v>1202</v>
      </c>
      <c r="C67" s="955">
        <v>0</v>
      </c>
      <c r="D67" s="955">
        <v>290.14456</v>
      </c>
      <c r="E67" s="955">
        <f>802.8*I1*J1</f>
        <v>895.1340419999999</v>
      </c>
      <c r="F67" s="1233">
        <v>95.19782000000001</v>
      </c>
      <c r="G67" s="1233">
        <v>171.40238000000002</v>
      </c>
      <c r="H67" s="14" t="s">
        <v>1155</v>
      </c>
      <c r="I67" s="65"/>
    </row>
    <row r="68" spans="1:8" ht="39" customHeight="1">
      <c r="A68" s="6" t="s">
        <v>224</v>
      </c>
      <c r="B68" s="18" t="s">
        <v>1202</v>
      </c>
      <c r="C68" s="18" t="s">
        <v>1202</v>
      </c>
      <c r="D68" s="955">
        <v>69.71</v>
      </c>
      <c r="E68" s="955">
        <f>D68*I1*J1</f>
        <v>77.72769564999999</v>
      </c>
      <c r="F68" s="1233">
        <v>13.05</v>
      </c>
      <c r="G68" s="1233">
        <v>13.05</v>
      </c>
      <c r="H68" s="14"/>
    </row>
    <row r="69" spans="1:8" ht="24.75" customHeight="1">
      <c r="A69" s="6" t="s">
        <v>225</v>
      </c>
      <c r="B69" s="18" t="s">
        <v>1202</v>
      </c>
      <c r="C69" s="955">
        <v>0</v>
      </c>
      <c r="D69" s="955"/>
      <c r="E69" s="955"/>
      <c r="F69" s="1233"/>
      <c r="G69" s="1233">
        <v>90.533</v>
      </c>
      <c r="H69" s="14"/>
    </row>
    <row r="70" spans="1:8" ht="20.25" customHeight="1">
      <c r="A70" s="6" t="s">
        <v>226</v>
      </c>
      <c r="B70" s="18" t="s">
        <v>1202</v>
      </c>
      <c r="C70" s="955">
        <v>0</v>
      </c>
      <c r="D70" s="955">
        <v>13.41231</v>
      </c>
      <c r="E70" s="955">
        <f>(53.80843*I1*J1)/12*11/1.18</f>
        <v>46.607999459106644</v>
      </c>
      <c r="F70" s="1233">
        <v>4.65415</v>
      </c>
      <c r="G70" s="1233">
        <v>13.793289999999999</v>
      </c>
      <c r="H70" s="14" t="s">
        <v>484</v>
      </c>
    </row>
    <row r="71" spans="1:9" ht="34.5" customHeight="1">
      <c r="A71" s="6" t="s">
        <v>227</v>
      </c>
      <c r="B71" s="18" t="s">
        <v>1202</v>
      </c>
      <c r="C71" s="955">
        <v>0</v>
      </c>
      <c r="D71" s="955">
        <v>59.19538</v>
      </c>
      <c r="E71" s="960">
        <f>((11*2.74393/1.18)+(12*2.875))*I1*J1</f>
        <v>66.98899563427966</v>
      </c>
      <c r="F71" s="1234">
        <v>8.75568</v>
      </c>
      <c r="G71" s="1234">
        <v>15.99316</v>
      </c>
      <c r="H71" s="14" t="s">
        <v>317</v>
      </c>
      <c r="I71" s="604"/>
    </row>
    <row r="72" spans="1:8" ht="19.5" customHeight="1">
      <c r="A72" s="6" t="s">
        <v>471</v>
      </c>
      <c r="B72" s="18" t="s">
        <v>1202</v>
      </c>
      <c r="C72" s="955">
        <v>2.108</v>
      </c>
      <c r="D72" s="955">
        <v>0</v>
      </c>
      <c r="E72" s="955">
        <v>0</v>
      </c>
      <c r="F72" s="1233">
        <v>3.37</v>
      </c>
      <c r="G72" s="1233">
        <v>4.37</v>
      </c>
      <c r="H72" s="14"/>
    </row>
    <row r="73" spans="1:8" ht="22.5" customHeight="1">
      <c r="A73" s="6" t="s">
        <v>461</v>
      </c>
      <c r="B73" s="18" t="s">
        <v>1202</v>
      </c>
      <c r="C73" s="955">
        <v>3.55480472</v>
      </c>
      <c r="D73" s="955"/>
      <c r="E73" s="955"/>
      <c r="F73" s="1233">
        <v>5.67</v>
      </c>
      <c r="G73" s="1233">
        <v>5.67</v>
      </c>
      <c r="H73" s="14" t="s">
        <v>1246</v>
      </c>
    </row>
    <row r="74" spans="1:8" ht="28.5" customHeight="1">
      <c r="A74" s="10" t="s">
        <v>635</v>
      </c>
      <c r="B74" s="18"/>
      <c r="C74" s="955"/>
      <c r="D74" s="955">
        <v>2.03</v>
      </c>
      <c r="E74" s="955">
        <f>D74*I1*J1</f>
        <v>2.2634804499999994</v>
      </c>
      <c r="F74" s="1233"/>
      <c r="G74" s="1233"/>
      <c r="H74" s="14"/>
    </row>
    <row r="75" spans="1:9" ht="42" customHeight="1">
      <c r="A75" s="10" t="s">
        <v>228</v>
      </c>
      <c r="B75" s="18"/>
      <c r="C75" s="955"/>
      <c r="D75" s="955">
        <v>0.015310000000000002</v>
      </c>
      <c r="E75" s="955">
        <f>'имуществ.комплекс'!F29</f>
        <v>0.026608796396372203</v>
      </c>
      <c r="F75" s="1233"/>
      <c r="G75" s="1233">
        <v>0.01894</v>
      </c>
      <c r="H75" s="14" t="s">
        <v>950</v>
      </c>
      <c r="I75" s="870"/>
    </row>
    <row r="76" spans="1:8" ht="21" customHeight="1">
      <c r="A76" s="10" t="s">
        <v>229</v>
      </c>
      <c r="B76" s="18"/>
      <c r="C76" s="955"/>
      <c r="D76" s="955">
        <v>0.9</v>
      </c>
      <c r="E76" s="955">
        <f>D76*I1*J1</f>
        <v>1.0035135</v>
      </c>
      <c r="F76" s="1233"/>
      <c r="G76" s="1233"/>
      <c r="H76" s="14" t="s">
        <v>470</v>
      </c>
    </row>
    <row r="77" spans="1:8" ht="27">
      <c r="A77" s="6" t="s">
        <v>962</v>
      </c>
      <c r="B77" s="18" t="s">
        <v>1202</v>
      </c>
      <c r="C77" s="963">
        <v>1.3</v>
      </c>
      <c r="D77" s="963">
        <v>1.1868</v>
      </c>
      <c r="E77" s="963">
        <f>'имуществ.комплекс'!I9*I1*J1</f>
        <v>1.4754991287270296</v>
      </c>
      <c r="F77" s="1235">
        <v>0.52412</v>
      </c>
      <c r="G77" s="1235">
        <v>0.7824099999999999</v>
      </c>
      <c r="H77" s="14" t="s">
        <v>949</v>
      </c>
    </row>
    <row r="78" spans="1:8" ht="22.5" customHeight="1">
      <c r="A78" s="6" t="s">
        <v>230</v>
      </c>
      <c r="B78" s="18" t="s">
        <v>1202</v>
      </c>
      <c r="C78" s="955">
        <v>0</v>
      </c>
      <c r="D78" s="955">
        <v>7.919719999999998</v>
      </c>
      <c r="E78" s="955">
        <f>(7919.72*1.4*I1*J1)/1000</f>
        <v>12.362849234119999</v>
      </c>
      <c r="F78" s="1233">
        <v>5.95411</v>
      </c>
      <c r="G78" s="1233">
        <v>10.81943</v>
      </c>
      <c r="H78" s="14" t="s">
        <v>895</v>
      </c>
    </row>
    <row r="79" spans="1:8" ht="27">
      <c r="A79" s="6" t="s">
        <v>221</v>
      </c>
      <c r="B79" s="18" t="s">
        <v>1202</v>
      </c>
      <c r="C79" s="955">
        <v>87.0615035</v>
      </c>
      <c r="D79" s="955">
        <v>65.62459000000001</v>
      </c>
      <c r="E79" s="955">
        <f>(18139.11/1.18/1000*I1*J1)/12*11</f>
        <v>15.711806292595337</v>
      </c>
      <c r="F79" s="1233">
        <v>31.987129999999997</v>
      </c>
      <c r="G79" s="1233">
        <f>0.15+9.79127</f>
        <v>9.941270000000001</v>
      </c>
      <c r="H79" s="14" t="s">
        <v>333</v>
      </c>
    </row>
    <row r="80" spans="1:8" ht="40.5">
      <c r="A80" s="6" t="s">
        <v>231</v>
      </c>
      <c r="B80" s="18" t="s">
        <v>1202</v>
      </c>
      <c r="C80" s="955">
        <v>0</v>
      </c>
      <c r="D80" s="955">
        <v>1.4718299999999997</v>
      </c>
      <c r="E80" s="955">
        <f>11*180/1000*J1</f>
        <v>2.0690999999999997</v>
      </c>
      <c r="F80" s="1233">
        <v>0.9575699999999999</v>
      </c>
      <c r="G80" s="1233">
        <v>1.50187000000005</v>
      </c>
      <c r="H80" s="14" t="s">
        <v>955</v>
      </c>
    </row>
    <row r="81" spans="1:8" ht="19.5" customHeight="1">
      <c r="A81" s="6" t="s">
        <v>215</v>
      </c>
      <c r="B81" s="18" t="s">
        <v>1202</v>
      </c>
      <c r="C81" s="955"/>
      <c r="D81" s="955"/>
      <c r="E81" s="955"/>
      <c r="F81" s="1233"/>
      <c r="G81" s="1233">
        <v>24.73429</v>
      </c>
      <c r="H81" s="20"/>
    </row>
    <row r="82" spans="1:9" ht="20.25" customHeight="1" thickBot="1">
      <c r="A82" s="875" t="s">
        <v>156</v>
      </c>
      <c r="B82" s="876" t="s">
        <v>1202</v>
      </c>
      <c r="C82" s="964"/>
      <c r="D82" s="964">
        <v>18.378982749548538</v>
      </c>
      <c r="E82" s="964">
        <v>0</v>
      </c>
      <c r="F82" s="1236">
        <v>11.024787182619649</v>
      </c>
      <c r="G82" s="1236">
        <v>15.79138075051914</v>
      </c>
      <c r="H82" s="877"/>
      <c r="I82" s="3"/>
    </row>
    <row r="83" spans="1:10" ht="35.25" customHeight="1" thickBot="1">
      <c r="A83" s="871" t="s">
        <v>286</v>
      </c>
      <c r="B83" s="872" t="s">
        <v>1202</v>
      </c>
      <c r="C83" s="965">
        <v>1238.63440562</v>
      </c>
      <c r="D83" s="1265">
        <f>SUM(D65:D82)</f>
        <v>2112.4114427495483</v>
      </c>
      <c r="E83" s="1265">
        <f>SUM(E65:E82)</f>
        <v>3098.4767519545358</v>
      </c>
      <c r="F83" s="1265">
        <f>SUM(F65:F82)</f>
        <v>897.8114271826196</v>
      </c>
      <c r="G83" s="966">
        <f>SUM(G65:G82)</f>
        <v>1493.7583307505192</v>
      </c>
      <c r="H83" s="873"/>
      <c r="I83" s="8">
        <v>1493.7583307505192</v>
      </c>
      <c r="J83" s="3">
        <f>G83-I83</f>
        <v>0</v>
      </c>
    </row>
    <row r="84" spans="1:8" ht="14.25" customHeight="1" hidden="1" thickBot="1">
      <c r="A84" s="26"/>
      <c r="B84" s="27"/>
      <c r="C84" s="967"/>
      <c r="D84" s="967"/>
      <c r="E84" s="967"/>
      <c r="F84" s="967"/>
      <c r="G84" s="967"/>
      <c r="H84" s="38"/>
    </row>
    <row r="85" spans="1:8" ht="24" customHeight="1" thickBot="1">
      <c r="A85" s="1775" t="s">
        <v>485</v>
      </c>
      <c r="B85" s="1776"/>
      <c r="C85" s="968"/>
      <c r="D85" s="969"/>
      <c r="E85" s="969"/>
      <c r="F85" s="969"/>
      <c r="G85" s="969"/>
      <c r="H85" s="605"/>
    </row>
    <row r="86" spans="1:8" ht="30" customHeight="1">
      <c r="A86" s="776" t="s">
        <v>1157</v>
      </c>
      <c r="B86" s="1269" t="s">
        <v>1200</v>
      </c>
      <c r="C86" s="1270"/>
      <c r="D86" s="1270"/>
      <c r="E86" s="1270"/>
      <c r="F86" s="1264" t="s">
        <v>1299</v>
      </c>
      <c r="G86" s="1264" t="s">
        <v>212</v>
      </c>
      <c r="H86" s="1237" t="s">
        <v>1229</v>
      </c>
    </row>
    <row r="87" spans="1:8" ht="23.25" customHeight="1">
      <c r="A87" s="879" t="s">
        <v>283</v>
      </c>
      <c r="B87" s="18" t="s">
        <v>1202</v>
      </c>
      <c r="C87" s="955">
        <v>24.4433</v>
      </c>
      <c r="D87" s="955">
        <v>30.18325</v>
      </c>
      <c r="E87" s="960">
        <f>12*2.74393*I1*J1/1.18</f>
        <v>31.113794328305083</v>
      </c>
      <c r="F87" s="960">
        <v>6.82315</v>
      </c>
      <c r="G87" s="960">
        <v>34.0451</v>
      </c>
      <c r="H87" s="629" t="s">
        <v>470</v>
      </c>
    </row>
    <row r="88" spans="1:8" ht="20.25" customHeight="1">
      <c r="A88" s="879" t="s">
        <v>284</v>
      </c>
      <c r="B88" s="18" t="s">
        <v>1202</v>
      </c>
      <c r="C88" s="955">
        <v>0</v>
      </c>
      <c r="D88" s="955">
        <v>33.84651</v>
      </c>
      <c r="E88" s="955">
        <f>135.36445*I1*J1/1.18</f>
        <v>127.90965442097456</v>
      </c>
      <c r="F88" s="955">
        <v>9.013010000000001</v>
      </c>
      <c r="G88" s="955">
        <v>27.247930000000004</v>
      </c>
      <c r="H88" s="629" t="s">
        <v>470</v>
      </c>
    </row>
    <row r="89" spans="1:8" ht="27">
      <c r="A89" s="879" t="s">
        <v>1300</v>
      </c>
      <c r="B89" s="18" t="s">
        <v>1202</v>
      </c>
      <c r="C89" s="955">
        <v>0.592875</v>
      </c>
      <c r="D89" s="955"/>
      <c r="E89" s="955"/>
      <c r="F89" s="955">
        <v>7.203</v>
      </c>
      <c r="G89" s="955">
        <v>7.203</v>
      </c>
      <c r="H89" s="857" t="s">
        <v>1246</v>
      </c>
    </row>
    <row r="90" spans="1:8" ht="18" customHeight="1">
      <c r="A90" s="849" t="s">
        <v>458</v>
      </c>
      <c r="B90" s="18" t="s">
        <v>1202</v>
      </c>
      <c r="C90" s="955">
        <v>0.29268526</v>
      </c>
      <c r="D90" s="955"/>
      <c r="E90" s="955"/>
      <c r="F90" s="955"/>
      <c r="G90" s="955"/>
      <c r="H90" s="629" t="s">
        <v>158</v>
      </c>
    </row>
    <row r="91" spans="1:19" ht="27.75" customHeight="1">
      <c r="A91" s="849" t="s">
        <v>1154</v>
      </c>
      <c r="B91" s="18" t="s">
        <v>1202</v>
      </c>
      <c r="C91" s="955">
        <v>0</v>
      </c>
      <c r="D91" s="955">
        <v>87.844285</v>
      </c>
      <c r="E91" s="955">
        <f>(16490.1/1000+831.987)/1.18*I1*J1</f>
        <v>801.7497403868642</v>
      </c>
      <c r="F91" s="955">
        <v>9.75921</v>
      </c>
      <c r="G91" s="955">
        <v>30.907059999999998</v>
      </c>
      <c r="H91" s="629" t="s">
        <v>159</v>
      </c>
      <c r="S91" s="1" t="s">
        <v>1071</v>
      </c>
    </row>
    <row r="92" spans="1:8" ht="22.5" customHeight="1">
      <c r="A92" s="849" t="s">
        <v>471</v>
      </c>
      <c r="B92" s="18" t="s">
        <v>1202</v>
      </c>
      <c r="C92" s="955">
        <v>2.108</v>
      </c>
      <c r="D92" s="955"/>
      <c r="E92" s="955"/>
      <c r="F92" s="955"/>
      <c r="G92" s="955"/>
      <c r="H92" s="629" t="s">
        <v>470</v>
      </c>
    </row>
    <row r="93" spans="1:8" ht="40.5">
      <c r="A93" s="849" t="s">
        <v>486</v>
      </c>
      <c r="B93" s="18" t="s">
        <v>1202</v>
      </c>
      <c r="C93" s="955">
        <v>0</v>
      </c>
      <c r="D93" s="955">
        <v>1.7053999999999998</v>
      </c>
      <c r="E93" s="955">
        <f>2.16*J1</f>
        <v>2.2572</v>
      </c>
      <c r="F93" s="955">
        <v>0.9575699999999999</v>
      </c>
      <c r="G93" s="955">
        <v>1.5005199999999999</v>
      </c>
      <c r="H93" s="629" t="s">
        <v>956</v>
      </c>
    </row>
    <row r="94" spans="1:8" ht="40.5">
      <c r="A94" s="849" t="s">
        <v>636</v>
      </c>
      <c r="B94" s="18"/>
      <c r="C94" s="955"/>
      <c r="D94" s="955">
        <v>12.32584</v>
      </c>
      <c r="E94" s="955">
        <f>'имуществ.комплекс'!F31*'цеховые затраты  (2)'!I1*'цеховые затраты  (2)'!J1</f>
        <v>19.55490886153357</v>
      </c>
      <c r="F94" s="955">
        <v>10.511849999999999</v>
      </c>
      <c r="G94" s="955">
        <v>10.51494</v>
      </c>
      <c r="H94" s="857" t="s">
        <v>33</v>
      </c>
    </row>
    <row r="95" spans="1:8" ht="27" customHeight="1">
      <c r="A95" s="849" t="s">
        <v>154</v>
      </c>
      <c r="B95" s="18" t="s">
        <v>1202</v>
      </c>
      <c r="C95" s="955">
        <v>7.97657714</v>
      </c>
      <c r="D95" s="955"/>
      <c r="E95" s="955"/>
      <c r="F95" s="955"/>
      <c r="G95" s="955"/>
      <c r="H95" s="627" t="s">
        <v>957</v>
      </c>
    </row>
    <row r="96" spans="1:8" ht="27" customHeight="1">
      <c r="A96" s="880" t="s">
        <v>155</v>
      </c>
      <c r="B96" s="18" t="s">
        <v>1202</v>
      </c>
      <c r="C96" s="955">
        <v>49.09179964000001</v>
      </c>
      <c r="D96" s="955"/>
      <c r="E96" s="955">
        <f>C96</f>
        <v>49.09179964000001</v>
      </c>
      <c r="F96" s="955"/>
      <c r="G96" s="955"/>
      <c r="H96" s="628" t="s">
        <v>332</v>
      </c>
    </row>
    <row r="97" spans="1:8" ht="14.25">
      <c r="A97" s="849" t="s">
        <v>1063</v>
      </c>
      <c r="B97" s="18" t="s">
        <v>1202</v>
      </c>
      <c r="C97" s="955"/>
      <c r="D97" s="955"/>
      <c r="E97" s="955"/>
      <c r="F97" s="955"/>
      <c r="G97" s="955">
        <v>2.24857</v>
      </c>
      <c r="H97" s="629"/>
    </row>
    <row r="98" spans="1:8" ht="14.25">
      <c r="A98" s="849"/>
      <c r="B98" s="18" t="s">
        <v>1202</v>
      </c>
      <c r="C98" s="955"/>
      <c r="D98" s="955"/>
      <c r="E98" s="955"/>
      <c r="F98" s="955"/>
      <c r="G98" s="955"/>
      <c r="H98" s="629"/>
    </row>
    <row r="99" spans="1:10" ht="22.5" customHeight="1">
      <c r="A99" s="849" t="s">
        <v>156</v>
      </c>
      <c r="B99" s="18" t="s">
        <v>1202</v>
      </c>
      <c r="C99" s="955">
        <v>1.023</v>
      </c>
      <c r="D99" s="955">
        <v>1.7829199999999996</v>
      </c>
      <c r="E99" s="955">
        <v>0.8457899999999999</v>
      </c>
      <c r="F99" s="955">
        <f>2123.62/1000</f>
        <v>2.12362</v>
      </c>
      <c r="G99" s="955">
        <v>2.3794299999999997</v>
      </c>
      <c r="H99" s="629" t="s">
        <v>974</v>
      </c>
      <c r="J99" s="3"/>
    </row>
    <row r="100" spans="1:10" ht="21" customHeight="1">
      <c r="A100" s="849" t="s">
        <v>157</v>
      </c>
      <c r="B100" s="18" t="s">
        <v>1202</v>
      </c>
      <c r="C100" s="963">
        <v>0.8</v>
      </c>
      <c r="D100" s="963">
        <v>0.72072</v>
      </c>
      <c r="E100" s="963">
        <f>'имуществ.комплекс'!J9</f>
        <v>0.8036136107999999</v>
      </c>
      <c r="F100" s="963">
        <v>0.31828</v>
      </c>
      <c r="G100" s="963">
        <v>0.47514000000000006</v>
      </c>
      <c r="H100" s="630"/>
      <c r="I100" s="3"/>
      <c r="J100" s="3"/>
    </row>
    <row r="101" spans="1:8" ht="9" customHeight="1">
      <c r="A101" s="881"/>
      <c r="B101" s="18"/>
      <c r="C101" s="955"/>
      <c r="D101" s="955"/>
      <c r="E101" s="955"/>
      <c r="F101" s="955"/>
      <c r="G101" s="955"/>
      <c r="H101" s="629"/>
    </row>
    <row r="102" spans="1:10" ht="36.75" customHeight="1">
      <c r="A102" s="882" t="s">
        <v>285</v>
      </c>
      <c r="B102" s="171" t="s">
        <v>1202</v>
      </c>
      <c r="C102" s="961">
        <v>86.32823704</v>
      </c>
      <c r="D102" s="961">
        <f>SUM(D87:D101)</f>
        <v>168.408925</v>
      </c>
      <c r="E102" s="961">
        <f>SUM(E87:E101)</f>
        <v>1033.3265012484776</v>
      </c>
      <c r="F102" s="961">
        <f>SUM(F87:F101)</f>
        <v>46.70969000000001</v>
      </c>
      <c r="G102" s="961">
        <f>SUM(G87:G101)</f>
        <v>116.52168999999999</v>
      </c>
      <c r="H102" s="859"/>
      <c r="I102" s="1">
        <v>116.52168999999913</v>
      </c>
      <c r="J102" s="8">
        <f>I102-G102</f>
        <v>-8.668621376273222E-13</v>
      </c>
    </row>
    <row r="103" spans="1:8" ht="14.25">
      <c r="A103" s="878"/>
      <c r="B103" s="64"/>
      <c r="C103" s="970"/>
      <c r="D103" s="970"/>
      <c r="E103" s="970"/>
      <c r="F103" s="970"/>
      <c r="G103" s="970"/>
      <c r="H103" s="113"/>
    </row>
    <row r="104" spans="1:10" ht="35.25" customHeight="1">
      <c r="A104" s="1144" t="s">
        <v>487</v>
      </c>
      <c r="B104" s="1145" t="s">
        <v>1202</v>
      </c>
      <c r="C104" s="1146">
        <f>C106+C107+C108</f>
        <v>6653.621158201618</v>
      </c>
      <c r="D104" s="1147">
        <f>D106+D107+D108</f>
        <v>6397.595423749549</v>
      </c>
      <c r="E104" s="1147">
        <f>E106+E107+E108</f>
        <v>9145.42046462988</v>
      </c>
      <c r="F104" s="1147">
        <f>F106+F107+F108</f>
        <v>2773.0322271826194</v>
      </c>
      <c r="G104" s="1147">
        <f>G106+G107+G108</f>
        <v>4284.162350750521</v>
      </c>
      <c r="H104" s="1147"/>
      <c r="I104" s="1">
        <v>2773.027947182618</v>
      </c>
      <c r="J104" s="1239">
        <f>I104-F104</f>
        <v>-0.004280000001472217</v>
      </c>
    </row>
    <row r="105" spans="1:10" ht="15">
      <c r="A105" s="28" t="s">
        <v>488</v>
      </c>
      <c r="B105" s="18"/>
      <c r="C105" s="971"/>
      <c r="D105" s="971"/>
      <c r="E105" s="971"/>
      <c r="F105" s="971"/>
      <c r="G105" s="971"/>
      <c r="H105" s="13"/>
      <c r="I105" s="3" t="e">
        <f>'водоснабжение '!#REF!+'водоснабжение '!#REF!+'водоснабжение '!#REF!+водоотведение!#REF!+водоотведение!#REF!+водоотведение!#REF!+'водоснабжение '!#REF!</f>
        <v>#REF!</v>
      </c>
      <c r="J105" s="3" t="e">
        <f>F104+I105</f>
        <v>#REF!</v>
      </c>
    </row>
    <row r="106" spans="1:10" ht="14.25">
      <c r="A106" s="29" t="s">
        <v>489</v>
      </c>
      <c r="B106" s="18" t="s">
        <v>1202</v>
      </c>
      <c r="C106" s="972">
        <f>C29</f>
        <v>2593.6058086125427</v>
      </c>
      <c r="D106" s="973">
        <f>D29</f>
        <v>2255.3228959999997</v>
      </c>
      <c r="E106" s="972">
        <f>E29</f>
        <v>3180.2636664000383</v>
      </c>
      <c r="F106" s="972">
        <f>F29</f>
        <v>1106.3199299999999</v>
      </c>
      <c r="G106" s="972">
        <f>G29</f>
        <v>1507.548470000001</v>
      </c>
      <c r="H106" s="13"/>
      <c r="J106" s="3">
        <v>13321.72831718262</v>
      </c>
    </row>
    <row r="107" spans="1:10" ht="14.25">
      <c r="A107" s="28" t="s">
        <v>490</v>
      </c>
      <c r="B107" s="18" t="s">
        <v>1202</v>
      </c>
      <c r="C107" s="974">
        <f>C61</f>
        <v>2735.0527069290747</v>
      </c>
      <c r="D107" s="975">
        <f>D61</f>
        <v>1861.4521600000003</v>
      </c>
      <c r="E107" s="974">
        <f>E61</f>
        <v>1833.3535450268278</v>
      </c>
      <c r="F107" s="974">
        <f>F61</f>
        <v>722.19118</v>
      </c>
      <c r="G107" s="974">
        <f>G61</f>
        <v>1166.33386</v>
      </c>
      <c r="H107" s="15"/>
      <c r="J107" s="3" t="e">
        <f>J106-J105</f>
        <v>#REF!</v>
      </c>
    </row>
    <row r="108" spans="1:8" ht="14.25" customHeight="1">
      <c r="A108" s="29" t="s">
        <v>291</v>
      </c>
      <c r="B108" s="18" t="s">
        <v>1202</v>
      </c>
      <c r="C108" s="973">
        <f>C83+C102</f>
        <v>1324.96264266</v>
      </c>
      <c r="D108" s="973">
        <f>D83+D102</f>
        <v>2280.8203677495485</v>
      </c>
      <c r="E108" s="972">
        <f>E102+E83</f>
        <v>4131.803253203014</v>
      </c>
      <c r="F108" s="972">
        <f>F102+F83</f>
        <v>944.5211171826196</v>
      </c>
      <c r="G108" s="972">
        <f>G102+G83</f>
        <v>1610.2800207505193</v>
      </c>
      <c r="H108" s="13"/>
    </row>
    <row r="109" spans="1:8" ht="15">
      <c r="A109" s="110"/>
      <c r="B109" s="111"/>
      <c r="C109" s="976"/>
      <c r="D109" s="976"/>
      <c r="E109" s="976"/>
      <c r="F109" s="976"/>
      <c r="G109" s="976"/>
      <c r="H109" s="39"/>
    </row>
    <row r="110" spans="1:8" ht="20.25" customHeight="1">
      <c r="A110" s="1144" t="s">
        <v>1258</v>
      </c>
      <c r="B110" s="1257" t="s">
        <v>1202</v>
      </c>
      <c r="C110" s="1146">
        <v>3575.4204758623514</v>
      </c>
      <c r="D110" s="1147">
        <f>D106+(D108*D116)</f>
        <v>3338.940969085367</v>
      </c>
      <c r="E110" s="1147">
        <f>E106+(E108*E116)</f>
        <v>5083.135127079817</v>
      </c>
      <c r="F110" s="1147">
        <f>F106+(F108*F116)</f>
        <v>1563.3860471405023</v>
      </c>
      <c r="G110" s="1147">
        <f>G106+(G108*G116)</f>
        <v>2279.916890071599</v>
      </c>
      <c r="H110" s="1147"/>
    </row>
    <row r="111" spans="1:8" ht="21" customHeight="1">
      <c r="A111" s="1144" t="s">
        <v>1259</v>
      </c>
      <c r="B111" s="1257" t="s">
        <v>1202</v>
      </c>
      <c r="C111" s="1146">
        <v>3078.17</v>
      </c>
      <c r="D111" s="1147">
        <f>D107+(D108*D117)</f>
        <v>3058.6544546641817</v>
      </c>
      <c r="E111" s="1147">
        <f>E107+(E108*E117)</f>
        <v>4062.2853375500636</v>
      </c>
      <c r="F111" s="1147">
        <f>F107+(F117*F108)</f>
        <v>1209.6461800421173</v>
      </c>
      <c r="G111" s="1147">
        <f>G107+(G117*G108)</f>
        <v>2004.2454606789215</v>
      </c>
      <c r="H111" s="1147"/>
    </row>
    <row r="112" spans="1:16" ht="15">
      <c r="A112" s="22"/>
      <c r="B112" s="22"/>
      <c r="C112" s="988">
        <f>C111+C110</f>
        <v>6653.590475862351</v>
      </c>
      <c r="D112" s="988">
        <f>D110+D111</f>
        <v>6397.595423749549</v>
      </c>
      <c r="E112" s="988">
        <f>E29+E61+E83+E102</f>
        <v>9145.42046462988</v>
      </c>
      <c r="F112" s="988"/>
      <c r="G112" s="988"/>
      <c r="H112" s="22"/>
      <c r="L112" s="412" t="s">
        <v>1258</v>
      </c>
      <c r="M112" s="415">
        <f>M113+M114</f>
        <v>35.25</v>
      </c>
      <c r="N112" s="62"/>
      <c r="O112" s="415" t="s">
        <v>679</v>
      </c>
      <c r="P112" s="415" t="s">
        <v>1062</v>
      </c>
    </row>
    <row r="113" spans="1:16" ht="15">
      <c r="A113" s="22"/>
      <c r="B113" s="22"/>
      <c r="H113" s="22"/>
      <c r="L113" s="419" t="s">
        <v>671</v>
      </c>
      <c r="M113" s="416">
        <v>18</v>
      </c>
      <c r="N113" s="62"/>
      <c r="O113" s="416">
        <f>M113</f>
        <v>18</v>
      </c>
      <c r="P113" s="416"/>
    </row>
    <row r="114" spans="1:17" ht="19.5" customHeight="1">
      <c r="A114" s="22"/>
      <c r="B114" s="22"/>
      <c r="C114" s="1777" t="s">
        <v>233</v>
      </c>
      <c r="D114" s="1778"/>
      <c r="E114" s="1778"/>
      <c r="F114" s="1778"/>
      <c r="G114" s="1778"/>
      <c r="H114" s="22"/>
      <c r="I114" s="625" t="s">
        <v>322</v>
      </c>
      <c r="J114" s="422" t="s">
        <v>289</v>
      </c>
      <c r="L114" s="419" t="s">
        <v>669</v>
      </c>
      <c r="M114" s="418">
        <f>34.25-M113+1</f>
        <v>17.25</v>
      </c>
      <c r="N114" s="62"/>
      <c r="O114" s="418">
        <f>M114</f>
        <v>17.25</v>
      </c>
      <c r="P114" s="418"/>
      <c r="Q114" s="65"/>
    </row>
    <row r="115" spans="1:16" ht="18" customHeight="1">
      <c r="A115" s="22"/>
      <c r="B115" s="22"/>
      <c r="C115" s="979"/>
      <c r="D115" s="980" t="s">
        <v>277</v>
      </c>
      <c r="E115" s="980" t="s">
        <v>45</v>
      </c>
      <c r="F115" s="980" t="s">
        <v>1301</v>
      </c>
      <c r="G115" s="980" t="s">
        <v>232</v>
      </c>
      <c r="H115" s="22"/>
      <c r="I115" s="2">
        <f>'ФОТ основных'!V30+'ФОТ основных'!V10</f>
        <v>7254672.744383475</v>
      </c>
      <c r="J115" s="624">
        <f>J116+J117</f>
        <v>1</v>
      </c>
      <c r="L115" s="412" t="s">
        <v>1259</v>
      </c>
      <c r="M115" s="415">
        <f>M116+M117</f>
        <v>42.5</v>
      </c>
      <c r="N115" s="62"/>
      <c r="O115" s="62"/>
      <c r="P115" s="62"/>
    </row>
    <row r="116" spans="1:16" ht="15">
      <c r="A116" s="22"/>
      <c r="B116" s="22"/>
      <c r="C116" s="981"/>
      <c r="D116" s="982">
        <f>'водоснабжение '!J26/(водоотведение!G22+'водоснабжение '!J26)</f>
        <v>0.4751001387077919</v>
      </c>
      <c r="E116" s="982">
        <v>0.460542611559409</v>
      </c>
      <c r="F116" s="982">
        <v>0.4839130738589197</v>
      </c>
      <c r="G116" s="982">
        <v>0.47964851461773245</v>
      </c>
      <c r="H116" s="22"/>
      <c r="I116" s="2">
        <f>'ФОТ основных'!V10</f>
        <v>3344463.7803088957</v>
      </c>
      <c r="J116" s="173">
        <f>I116/I115</f>
        <v>0.461008221618013</v>
      </c>
      <c r="L116" s="414" t="s">
        <v>670</v>
      </c>
      <c r="M116" s="426">
        <v>22</v>
      </c>
      <c r="N116" s="62"/>
      <c r="O116" s="62"/>
      <c r="P116" s="416">
        <f>M116</f>
        <v>22</v>
      </c>
    </row>
    <row r="117" spans="1:17" ht="15">
      <c r="A117" s="22"/>
      <c r="B117" s="22"/>
      <c r="C117" s="981"/>
      <c r="D117" s="982">
        <f>(водоотведение!G22/(водоотведение!G22+'водоснабжение '!J26))</f>
        <v>0.5248998612922081</v>
      </c>
      <c r="E117" s="982">
        <v>0.539457388440591</v>
      </c>
      <c r="F117" s="982">
        <v>0.5160869261410803</v>
      </c>
      <c r="G117" s="982">
        <v>0.5203514853822676</v>
      </c>
      <c r="H117" s="22"/>
      <c r="I117" s="2">
        <f>'ФОТ основных'!V30</f>
        <v>3910208.964074579</v>
      </c>
      <c r="J117" s="173">
        <f>I117/I115</f>
        <v>0.538991778381987</v>
      </c>
      <c r="L117" s="413" t="s">
        <v>669</v>
      </c>
      <c r="M117" s="426">
        <f>1+19.5</f>
        <v>20.5</v>
      </c>
      <c r="N117" s="62"/>
      <c r="O117" s="62"/>
      <c r="P117" s="62">
        <f>M117</f>
        <v>20.5</v>
      </c>
      <c r="Q117" s="1">
        <f>P117-2</f>
        <v>18.5</v>
      </c>
    </row>
    <row r="118" spans="1:16" ht="15">
      <c r="A118" s="22"/>
      <c r="B118" s="22"/>
      <c r="C118" s="983"/>
      <c r="D118" s="984">
        <f>D117+D116</f>
        <v>1</v>
      </c>
      <c r="E118" s="984">
        <f>E117+E116</f>
        <v>1</v>
      </c>
      <c r="F118" s="984">
        <f>F117+F116</f>
        <v>1</v>
      </c>
      <c r="G118" s="984">
        <f>G117+G116</f>
        <v>1</v>
      </c>
      <c r="H118" s="22"/>
      <c r="L118" s="412" t="s">
        <v>291</v>
      </c>
      <c r="M118" s="415">
        <f>M121+M122</f>
        <v>22</v>
      </c>
      <c r="N118" s="62"/>
      <c r="O118" s="62"/>
      <c r="P118" s="62"/>
    </row>
    <row r="119" spans="1:16" ht="15">
      <c r="A119" s="22"/>
      <c r="B119" s="22"/>
      <c r="C119" s="986"/>
      <c r="D119" s="987"/>
      <c r="E119" s="987"/>
      <c r="F119" s="987"/>
      <c r="G119" s="987"/>
      <c r="H119" s="22"/>
      <c r="L119" s="412"/>
      <c r="M119" s="415"/>
      <c r="N119" s="62"/>
      <c r="O119" s="62"/>
      <c r="P119" s="62"/>
    </row>
    <row r="120" spans="1:16" ht="38.25" customHeight="1">
      <c r="A120" s="1772"/>
      <c r="B120" s="1772"/>
      <c r="C120" s="1772"/>
      <c r="D120" s="1772"/>
      <c r="E120" s="1772"/>
      <c r="F120" s="1772"/>
      <c r="G120" s="1772"/>
      <c r="H120" s="1772"/>
      <c r="L120" s="412"/>
      <c r="M120" s="415"/>
      <c r="N120" s="62"/>
      <c r="O120" s="62"/>
      <c r="P120" s="62"/>
    </row>
    <row r="121" spans="1:16" ht="32.25" customHeight="1">
      <c r="A121" s="22"/>
      <c r="B121" s="22"/>
      <c r="H121" s="22"/>
      <c r="L121" s="417" t="s">
        <v>672</v>
      </c>
      <c r="M121" s="62">
        <f>12-1</f>
        <v>11</v>
      </c>
      <c r="N121" s="62"/>
      <c r="O121" s="416">
        <f>M121*D116</f>
        <v>5.226101525785711</v>
      </c>
      <c r="P121" s="427">
        <f>M121*D117</f>
        <v>5.773898474214289</v>
      </c>
    </row>
    <row r="122" spans="1:16" ht="18.75">
      <c r="A122" s="122" t="s">
        <v>948</v>
      </c>
      <c r="B122" s="22"/>
      <c r="J122" s="1">
        <f>D108*D116</f>
        <v>1083.6180730853673</v>
      </c>
      <c r="L122" s="417" t="s">
        <v>673</v>
      </c>
      <c r="M122" s="62">
        <v>11</v>
      </c>
      <c r="N122" s="62"/>
      <c r="O122" s="416">
        <f>D116*M122</f>
        <v>5.226101525785711</v>
      </c>
      <c r="P122" s="427">
        <f>D117*M122</f>
        <v>5.773898474214289</v>
      </c>
    </row>
    <row r="123" spans="1:2" ht="18.75">
      <c r="A123" s="122"/>
      <c r="B123" s="22"/>
    </row>
    <row r="124" spans="12:18" ht="15">
      <c r="L124" s="415" t="s">
        <v>1032</v>
      </c>
      <c r="M124" s="415">
        <f>M125+M126</f>
        <v>18.2</v>
      </c>
      <c r="N124" s="425">
        <v>3.0930592550220255</v>
      </c>
      <c r="O124" s="62"/>
      <c r="P124" s="424">
        <f>M124*ОХР!E47</f>
        <v>8.556627214925054</v>
      </c>
      <c r="Q124" s="425">
        <f>N124*ОХР!E47</f>
        <v>1.4541843405987516</v>
      </c>
      <c r="R124" s="424">
        <f>Q124+P124</f>
        <v>10.010811555523805</v>
      </c>
    </row>
    <row r="125" spans="6:18" ht="15">
      <c r="F125" s="1248"/>
      <c r="G125" s="1248"/>
      <c r="L125" s="62" t="s">
        <v>675</v>
      </c>
      <c r="M125" s="62">
        <v>10.5</v>
      </c>
      <c r="N125" s="62"/>
      <c r="O125" s="62"/>
      <c r="P125" s="423">
        <f>M124*ОХР!E48</f>
        <v>9.453527945622621</v>
      </c>
      <c r="Q125" s="425">
        <f>N124*ОХР!E48</f>
        <v>1.6066111046602969</v>
      </c>
      <c r="R125" s="424">
        <f>Q125+P125</f>
        <v>11.060139050282919</v>
      </c>
    </row>
    <row r="126" spans="4:18" ht="15">
      <c r="D126" s="977"/>
      <c r="L126" s="62" t="s">
        <v>674</v>
      </c>
      <c r="M126" s="62">
        <f>0.7+7</f>
        <v>7.7</v>
      </c>
      <c r="N126" s="62"/>
      <c r="O126" s="62"/>
      <c r="P126" s="62"/>
      <c r="Q126" s="425"/>
      <c r="R126" s="425"/>
    </row>
    <row r="127" spans="4:16" ht="15">
      <c r="D127" s="977"/>
      <c r="L127" s="62"/>
      <c r="M127" s="62"/>
      <c r="N127" s="62"/>
      <c r="O127" s="62"/>
      <c r="P127" s="62"/>
    </row>
    <row r="128" ht="15">
      <c r="M128" s="65">
        <f>M124+M112+M115+M118</f>
        <v>117.95</v>
      </c>
    </row>
    <row r="129" spans="4:15" ht="15">
      <c r="D129" s="977"/>
      <c r="M129" s="65">
        <v>118.5</v>
      </c>
      <c r="O129" s="1">
        <f>M124*ОХР!E49</f>
        <v>0.18984483945232186</v>
      </c>
    </row>
    <row r="130" ht="15">
      <c r="M130" s="65">
        <f>118.134931506849-0.18</f>
        <v>117.954931506849</v>
      </c>
    </row>
    <row r="131" spans="4:13" ht="15">
      <c r="D131" s="985"/>
      <c r="M131" s="65">
        <f>M128-M130</f>
        <v>-0.004931506848990352</v>
      </c>
    </row>
  </sheetData>
  <sheetProtection/>
  <mergeCells count="5">
    <mergeCell ref="A120:H120"/>
    <mergeCell ref="A1:H1"/>
    <mergeCell ref="A62:H62"/>
    <mergeCell ref="A85:B85"/>
    <mergeCell ref="C114:G114"/>
  </mergeCells>
  <printOptions horizontalCentered="1"/>
  <pageMargins left="0.5905511811023623" right="0.3937007874015748" top="0.1968503937007874" bottom="0.15748031496062992" header="0" footer="0"/>
  <pageSetup horizontalDpi="600" verticalDpi="600" orientation="portrait" paperSize="9" scale="47" r:id="rId3"/>
  <rowBreaks count="1" manualBreakCount="1">
    <brk id="47" max="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4"/>
  <sheetViews>
    <sheetView zoomScalePageLayoutView="0" workbookViewId="0" topLeftCell="A44">
      <selection activeCell="E65" sqref="E65"/>
    </sheetView>
  </sheetViews>
  <sheetFormatPr defaultColWidth="8.8515625" defaultRowHeight="12.75"/>
  <cols>
    <col min="1" max="1" width="40.57421875" style="1" customWidth="1"/>
    <col min="2" max="2" width="9.57421875" style="67" customWidth="1"/>
    <col min="3" max="3" width="20.140625" style="1" hidden="1" customWidth="1"/>
    <col min="4" max="4" width="22.28125" style="1" hidden="1" customWidth="1"/>
    <col min="5" max="5" width="21.00390625" style="1" customWidth="1"/>
    <col min="6" max="6" width="19.8515625" style="1" customWidth="1"/>
    <col min="7" max="7" width="18.00390625" style="1" hidden="1" customWidth="1"/>
    <col min="8" max="8" width="22.421875" style="1" customWidth="1"/>
    <col min="9" max="9" width="53.8515625" style="1" customWidth="1"/>
    <col min="10" max="10" width="12.7109375" style="1" customWidth="1"/>
    <col min="11" max="11" width="12.00390625" style="1" customWidth="1"/>
    <col min="12" max="12" width="8.8515625" style="1" customWidth="1"/>
    <col min="13" max="13" width="11.00390625" style="1" customWidth="1"/>
    <col min="14" max="14" width="13.57421875" style="1" customWidth="1"/>
    <col min="15" max="15" width="9.28125" style="1" customWidth="1"/>
    <col min="16" max="16" width="13.140625" style="1" customWidth="1"/>
    <col min="17" max="19" width="8.8515625" style="1" customWidth="1"/>
    <col min="20" max="20" width="29.57421875" style="1" customWidth="1"/>
    <col min="21" max="16384" width="8.8515625" style="1" customWidth="1"/>
  </cols>
  <sheetData>
    <row r="1" spans="1:9" ht="29.25" customHeight="1" thickBot="1">
      <c r="A1" s="1779" t="s">
        <v>1391</v>
      </c>
      <c r="B1" s="1779"/>
      <c r="C1" s="1779"/>
      <c r="D1" s="1779"/>
      <c r="E1" s="1779"/>
      <c r="F1" s="1779"/>
      <c r="G1" s="1779"/>
      <c r="H1" s="1779"/>
      <c r="I1" s="1779"/>
    </row>
    <row r="2" spans="1:11" ht="61.5" customHeight="1">
      <c r="A2" s="1087" t="s">
        <v>1157</v>
      </c>
      <c r="B2" s="1088" t="s">
        <v>1200</v>
      </c>
      <c r="C2" s="1089" t="s">
        <v>1239</v>
      </c>
      <c r="D2" s="1090" t="s">
        <v>287</v>
      </c>
      <c r="E2" s="1090" t="s">
        <v>1302</v>
      </c>
      <c r="F2" s="1090" t="s">
        <v>1392</v>
      </c>
      <c r="G2" s="1240" t="s">
        <v>1303</v>
      </c>
      <c r="H2" s="1240" t="s">
        <v>1393</v>
      </c>
      <c r="I2" s="1091" t="s">
        <v>1229</v>
      </c>
      <c r="J2" s="1">
        <v>1.067</v>
      </c>
      <c r="K2" s="1">
        <v>1.045</v>
      </c>
    </row>
    <row r="3" spans="1:9" ht="34.5" customHeight="1">
      <c r="A3" s="1092" t="s">
        <v>1231</v>
      </c>
      <c r="B3" s="1093" t="s">
        <v>1202</v>
      </c>
      <c r="C3" s="948">
        <v>135.17363</v>
      </c>
      <c r="D3" s="947">
        <v>166.12041602000002</v>
      </c>
      <c r="E3" s="947">
        <f>E4+E5</f>
        <v>171.22509000000002</v>
      </c>
      <c r="F3" s="947">
        <f>F4+F5</f>
        <v>189.3637613116462</v>
      </c>
      <c r="G3" s="947">
        <f>G4+G5</f>
        <v>96.67988</v>
      </c>
      <c r="H3" s="947">
        <f>H4+H5</f>
        <v>112.65295</v>
      </c>
      <c r="I3" s="1094"/>
    </row>
    <row r="4" spans="1:20" ht="30.75" customHeight="1">
      <c r="A4" s="1095" t="s">
        <v>1232</v>
      </c>
      <c r="B4" s="1093" t="s">
        <v>1202</v>
      </c>
      <c r="C4" s="948">
        <v>45.79743</v>
      </c>
      <c r="D4" s="1096">
        <v>56</v>
      </c>
      <c r="E4" s="1096">
        <v>52.74337</v>
      </c>
      <c r="F4" s="1096">
        <f>электроэнергия!N15</f>
        <v>54.24389033548616</v>
      </c>
      <c r="G4" s="1241">
        <v>23.83032</v>
      </c>
      <c r="H4" s="1241">
        <v>39.80339</v>
      </c>
      <c r="I4" s="1097" t="s">
        <v>1304</v>
      </c>
      <c r="J4" s="3"/>
      <c r="K4" s="3"/>
      <c r="T4" s="170"/>
    </row>
    <row r="5" spans="1:20" ht="37.5" customHeight="1">
      <c r="A5" s="1095" t="s">
        <v>1233</v>
      </c>
      <c r="B5" s="1093" t="s">
        <v>1202</v>
      </c>
      <c r="C5" s="948">
        <v>89.37620000000001</v>
      </c>
      <c r="D5" s="948">
        <v>110.12041602000002</v>
      </c>
      <c r="E5" s="948">
        <v>118.48172000000001</v>
      </c>
      <c r="F5" s="948">
        <f>E5*1.082*1.054</f>
        <v>135.11987097616003</v>
      </c>
      <c r="G5" s="1232">
        <v>72.84956</v>
      </c>
      <c r="H5" s="1232">
        <v>72.84956</v>
      </c>
      <c r="I5" s="1097" t="s">
        <v>1305</v>
      </c>
      <c r="J5" s="582">
        <v>1.0817053728644173</v>
      </c>
      <c r="K5" s="582">
        <v>1.0544437661887713</v>
      </c>
      <c r="L5" s="421">
        <f>E5*J5*K5</f>
        <v>135.1399521194023</v>
      </c>
      <c r="N5" s="3"/>
      <c r="T5" s="170"/>
    </row>
    <row r="6" spans="1:20" ht="24" customHeight="1">
      <c r="A6" s="1153" t="s">
        <v>1234</v>
      </c>
      <c r="B6" s="1150" t="s">
        <v>1202</v>
      </c>
      <c r="C6" s="1151">
        <v>74.91797</v>
      </c>
      <c r="D6" s="1152">
        <v>78.51403256</v>
      </c>
      <c r="E6" s="1152">
        <f>E7+E8</f>
        <v>69.46892</v>
      </c>
      <c r="F6" s="1152">
        <f>F7+F8</f>
        <v>77.45888783379999</v>
      </c>
      <c r="G6" s="1152">
        <f>G7+G8</f>
        <v>24.65546</v>
      </c>
      <c r="H6" s="1273">
        <f>H7+H8</f>
        <v>37.40466000000001</v>
      </c>
      <c r="I6" s="1094"/>
      <c r="K6" s="3"/>
      <c r="T6" s="170"/>
    </row>
    <row r="7" spans="1:20" ht="65.25" customHeight="1">
      <c r="A7" s="1149" t="s">
        <v>1235</v>
      </c>
      <c r="B7" s="1150" t="s">
        <v>1202</v>
      </c>
      <c r="C7" s="1151">
        <v>45.11339</v>
      </c>
      <c r="D7" s="1152">
        <v>47.278832720000004</v>
      </c>
      <c r="E7" s="1151">
        <v>36.635220000000004</v>
      </c>
      <c r="F7" s="1151">
        <f>E7*J2*K2</f>
        <v>40.8488198283</v>
      </c>
      <c r="G7" s="1242">
        <v>15.603000000000002</v>
      </c>
      <c r="H7" s="1242">
        <v>23.240660000000005</v>
      </c>
      <c r="I7" s="1097" t="s">
        <v>1309</v>
      </c>
      <c r="N7" s="61"/>
      <c r="T7" s="170"/>
    </row>
    <row r="8" spans="1:20" ht="42.75" customHeight="1">
      <c r="A8" s="1149" t="s">
        <v>1236</v>
      </c>
      <c r="B8" s="1150" t="s">
        <v>1202</v>
      </c>
      <c r="C8" s="1151">
        <v>29.804579999999998</v>
      </c>
      <c r="D8" s="1152">
        <v>31.23519984</v>
      </c>
      <c r="E8" s="1151">
        <v>32.8337</v>
      </c>
      <c r="F8" s="1151">
        <f>E8*J2*K2</f>
        <v>36.6100680055</v>
      </c>
      <c r="G8" s="1242">
        <v>9.05246</v>
      </c>
      <c r="H8" s="1242">
        <v>14.164</v>
      </c>
      <c r="I8" s="1099" t="s">
        <v>1241</v>
      </c>
      <c r="T8" s="170"/>
    </row>
    <row r="9" spans="1:20" ht="30">
      <c r="A9" s="1098" t="s">
        <v>1237</v>
      </c>
      <c r="B9" s="1093" t="s">
        <v>1202</v>
      </c>
      <c r="C9" s="948">
        <v>28.210910000000002</v>
      </c>
      <c r="D9" s="947">
        <v>29.565033680000003</v>
      </c>
      <c r="E9" s="948">
        <v>38.34009</v>
      </c>
      <c r="F9" s="948">
        <f>E9*J2*K2</f>
        <v>42.74977545134999</v>
      </c>
      <c r="G9" s="1232">
        <v>21.47553</v>
      </c>
      <c r="H9" s="1232">
        <v>28.075689999999994</v>
      </c>
      <c r="I9" s="1094" t="s">
        <v>334</v>
      </c>
      <c r="T9" s="170"/>
    </row>
    <row r="10" spans="1:20" ht="28.5" customHeight="1">
      <c r="A10" s="1098" t="s">
        <v>1242</v>
      </c>
      <c r="B10" s="1093" t="s">
        <v>1202</v>
      </c>
      <c r="C10" s="1100">
        <v>52.87716</v>
      </c>
      <c r="D10" s="955">
        <v>30.822</v>
      </c>
      <c r="E10" s="955">
        <v>30.821639999999988</v>
      </c>
      <c r="F10" s="955">
        <v>30.82164</v>
      </c>
      <c r="G10" s="1233">
        <v>15.34085</v>
      </c>
      <c r="H10" s="1233">
        <v>22.858790000000003</v>
      </c>
      <c r="I10" s="1101" t="s">
        <v>325</v>
      </c>
      <c r="T10" s="170"/>
    </row>
    <row r="11" spans="1:20" ht="57.75" customHeight="1">
      <c r="A11" s="1098" t="s">
        <v>970</v>
      </c>
      <c r="B11" s="1093" t="s">
        <v>1202</v>
      </c>
      <c r="C11" s="948">
        <v>39.088289999999986</v>
      </c>
      <c r="D11" s="947">
        <v>55.28584583999999</v>
      </c>
      <c r="E11" s="947">
        <v>34.27386</v>
      </c>
      <c r="F11" s="947">
        <f>3255.01/1000*J2*K2/1.18+17.253</f>
        <v>20.328749978940678</v>
      </c>
      <c r="G11" s="1231">
        <v>1.07728</v>
      </c>
      <c r="H11" s="1278">
        <v>31.016280000000002</v>
      </c>
      <c r="I11" s="1101" t="s">
        <v>1246</v>
      </c>
      <c r="J11" s="65">
        <v>28.61347</v>
      </c>
      <c r="K11" s="1">
        <v>17.253957627118645</v>
      </c>
      <c r="T11" s="170"/>
    </row>
    <row r="12" spans="1:20" ht="30" customHeight="1">
      <c r="A12" s="1102" t="s">
        <v>1063</v>
      </c>
      <c r="B12" s="1093" t="s">
        <v>1202</v>
      </c>
      <c r="C12" s="948"/>
      <c r="D12" s="947">
        <v>35</v>
      </c>
      <c r="E12" s="947">
        <f>0</f>
        <v>0</v>
      </c>
      <c r="F12" s="947">
        <f>4*8*K2</f>
        <v>33.44</v>
      </c>
      <c r="G12" s="1231"/>
      <c r="H12" s="1231">
        <v>2.24857</v>
      </c>
      <c r="I12" s="1101" t="s">
        <v>1246</v>
      </c>
      <c r="T12" s="170"/>
    </row>
    <row r="13" spans="1:9" ht="48.75" customHeight="1" hidden="1">
      <c r="A13" s="1102" t="s">
        <v>971</v>
      </c>
      <c r="B13" s="1093" t="s">
        <v>1202</v>
      </c>
      <c r="C13" s="948"/>
      <c r="D13" s="947">
        <v>0.98740828</v>
      </c>
      <c r="E13" s="947"/>
      <c r="F13" s="947"/>
      <c r="G13" s="1231"/>
      <c r="H13" s="1231"/>
      <c r="I13" s="1101"/>
    </row>
    <row r="14" spans="1:21" ht="33" customHeight="1">
      <c r="A14" s="1103" t="s">
        <v>972</v>
      </c>
      <c r="B14" s="1093" t="s">
        <v>1202</v>
      </c>
      <c r="C14" s="948">
        <v>55.90486</v>
      </c>
      <c r="D14" s="947">
        <v>62.103590876800006</v>
      </c>
      <c r="E14" s="947">
        <f>46.769+13.90543</f>
        <v>60.67443</v>
      </c>
      <c r="F14" s="947">
        <f>E14*J2*K2</f>
        <v>67.65289956645</v>
      </c>
      <c r="G14" s="1231">
        <f>13.8677+5.1963</f>
        <v>19.064</v>
      </c>
      <c r="H14" s="1231">
        <f>5.04+25.75851</f>
        <v>30.79851</v>
      </c>
      <c r="I14" s="1101" t="s">
        <v>969</v>
      </c>
      <c r="J14" s="1" t="s">
        <v>335</v>
      </c>
      <c r="U14" s="170" t="e">
        <f>#REF!/12</f>
        <v>#REF!</v>
      </c>
    </row>
    <row r="15" spans="1:20" ht="36.75" customHeight="1">
      <c r="A15" s="1098" t="s">
        <v>1243</v>
      </c>
      <c r="B15" s="1093" t="s">
        <v>1202</v>
      </c>
      <c r="C15" s="948">
        <v>17.6</v>
      </c>
      <c r="D15" s="947">
        <v>17.6</v>
      </c>
      <c r="E15" s="947">
        <v>30.5</v>
      </c>
      <c r="F15" s="947">
        <f>(750*4*11)/1000*J2*K2</f>
        <v>36.795494999999995</v>
      </c>
      <c r="G15" s="1231">
        <v>18</v>
      </c>
      <c r="H15" s="1231">
        <v>24.375</v>
      </c>
      <c r="I15" s="1101" t="s">
        <v>323</v>
      </c>
      <c r="T15" s="170"/>
    </row>
    <row r="16" spans="1:9" ht="23.25" customHeight="1">
      <c r="A16" s="1104" t="s">
        <v>1247</v>
      </c>
      <c r="B16" s="1093" t="s">
        <v>1202</v>
      </c>
      <c r="C16" s="948">
        <v>2.5837600000000003</v>
      </c>
      <c r="D16" s="947">
        <v>0.9221352</v>
      </c>
      <c r="E16" s="947">
        <f>E17+E18</f>
        <v>1.78076</v>
      </c>
      <c r="F16" s="947">
        <f>F17+F18</f>
        <v>2.5523484304032373</v>
      </c>
      <c r="G16" s="947">
        <f>G17+G18</f>
        <v>0.89297</v>
      </c>
      <c r="H16" s="1231">
        <f>H17+H18</f>
        <v>1.34886</v>
      </c>
      <c r="I16" s="1094"/>
    </row>
    <row r="17" spans="1:20" ht="46.5" customHeight="1">
      <c r="A17" s="1095" t="s">
        <v>1248</v>
      </c>
      <c r="B17" s="1093" t="s">
        <v>1202</v>
      </c>
      <c r="C17" s="948">
        <v>2.4064600000000005</v>
      </c>
      <c r="D17" s="948">
        <v>0</v>
      </c>
      <c r="E17" s="948">
        <v>1.35097</v>
      </c>
      <c r="F17" s="948">
        <f>1620/1000*K2</f>
        <v>1.6929</v>
      </c>
      <c r="G17" s="1232">
        <v>0.63836</v>
      </c>
      <c r="H17" s="1232">
        <v>1.0003199999999999</v>
      </c>
      <c r="I17" s="1105" t="s">
        <v>958</v>
      </c>
      <c r="K17" s="1">
        <v>19.42231</v>
      </c>
      <c r="L17" s="1">
        <f>9*180*1.045</f>
        <v>1692.8999999999999</v>
      </c>
      <c r="T17" s="170"/>
    </row>
    <row r="18" spans="1:20" ht="56.25" customHeight="1">
      <c r="A18" s="1106" t="s">
        <v>1249</v>
      </c>
      <c r="B18" s="1093" t="s">
        <v>1202</v>
      </c>
      <c r="C18" s="959">
        <v>0.17729999999999999</v>
      </c>
      <c r="D18" s="959">
        <v>0.9221352</v>
      </c>
      <c r="E18" s="959">
        <v>0.42978999999999995</v>
      </c>
      <c r="F18" s="959">
        <f>'имуществ.комплекс'!F30*ОХР!J2*ОХР!K2</f>
        <v>0.8594484304032373</v>
      </c>
      <c r="G18" s="1243">
        <v>0.25461</v>
      </c>
      <c r="H18" s="1243">
        <v>0.34854</v>
      </c>
      <c r="I18" s="1101" t="s">
        <v>959</v>
      </c>
      <c r="T18" s="170"/>
    </row>
    <row r="19" spans="1:20" ht="36.75" customHeight="1">
      <c r="A19" s="1107" t="s">
        <v>962</v>
      </c>
      <c r="B19" s="1108" t="s">
        <v>1202</v>
      </c>
      <c r="C19" s="959">
        <v>21.843719999999994</v>
      </c>
      <c r="D19" s="960">
        <v>22.868808714229832</v>
      </c>
      <c r="E19" s="960">
        <v>21.843719999999994</v>
      </c>
      <c r="F19" s="960">
        <f>'имуществ.комплекс'!K9</f>
        <v>24.3560754558</v>
      </c>
      <c r="G19" s="1234">
        <v>9.64632</v>
      </c>
      <c r="H19" s="1234">
        <v>14.400139999999997</v>
      </c>
      <c r="I19" s="1109" t="s">
        <v>960</v>
      </c>
      <c r="T19" s="170"/>
    </row>
    <row r="20" spans="1:20" ht="29.25" customHeight="1">
      <c r="A20" s="1110" t="s">
        <v>961</v>
      </c>
      <c r="B20" s="1108" t="s">
        <v>1202</v>
      </c>
      <c r="C20" s="959">
        <v>3.38416</v>
      </c>
      <c r="D20" s="960">
        <v>3.86324</v>
      </c>
      <c r="E20" s="960">
        <v>4.1517800000000005</v>
      </c>
      <c r="F20" s="960">
        <f>'имуществ.комплекс'!K10</f>
        <v>17.719797039999996</v>
      </c>
      <c r="G20" s="1234">
        <v>6.04858</v>
      </c>
      <c r="H20" s="1234">
        <v>9.07287</v>
      </c>
      <c r="I20" s="1109" t="s">
        <v>960</v>
      </c>
      <c r="T20" s="170"/>
    </row>
    <row r="21" spans="1:20" ht="37.5" customHeight="1">
      <c r="A21" s="1429" t="s">
        <v>337</v>
      </c>
      <c r="B21" s="1430" t="s">
        <v>1202</v>
      </c>
      <c r="C21" s="1431">
        <v>2360.88483</v>
      </c>
      <c r="D21" s="1432">
        <v>0</v>
      </c>
      <c r="E21" s="1432">
        <v>855.0513599999998</v>
      </c>
      <c r="F21" s="1432">
        <v>0</v>
      </c>
      <c r="G21" s="1433">
        <v>1133.23537</v>
      </c>
      <c r="H21" s="1433">
        <v>1695.26493</v>
      </c>
      <c r="I21" s="1434" t="s">
        <v>963</v>
      </c>
      <c r="J21" s="947">
        <f>H21*H47</f>
        <v>802.5417258999634</v>
      </c>
      <c r="K21" s="947">
        <f>H21*H48</f>
        <v>870.6454131023715</v>
      </c>
      <c r="L21" s="947">
        <f>водоотведение!K59</f>
        <v>870.6454131023715</v>
      </c>
      <c r="M21" s="947">
        <f>'водоснабжение '!N79</f>
        <v>802.5417258999634</v>
      </c>
      <c r="T21" s="170"/>
    </row>
    <row r="22" spans="1:20" ht="36" customHeight="1">
      <c r="A22" s="1098" t="s">
        <v>964</v>
      </c>
      <c r="B22" s="1093" t="s">
        <v>1202</v>
      </c>
      <c r="C22" s="948">
        <v>72</v>
      </c>
      <c r="D22" s="947">
        <v>75.456</v>
      </c>
      <c r="E22" s="947">
        <v>72</v>
      </c>
      <c r="F22" s="947">
        <f>E22*J2*K2</f>
        <v>80.28107999999999</v>
      </c>
      <c r="G22" s="1231">
        <v>36</v>
      </c>
      <c r="H22" s="1231">
        <v>54</v>
      </c>
      <c r="I22" s="1101" t="s">
        <v>329</v>
      </c>
      <c r="T22" s="170"/>
    </row>
    <row r="23" spans="1:20" ht="45.75" customHeight="1">
      <c r="A23" s="1098" t="s">
        <v>965</v>
      </c>
      <c r="B23" s="1093" t="s">
        <v>1202</v>
      </c>
      <c r="C23" s="948">
        <v>57.6</v>
      </c>
      <c r="D23" s="947">
        <v>62.88</v>
      </c>
      <c r="E23" s="947">
        <v>62.4</v>
      </c>
      <c r="F23" s="947">
        <f>E23*J2*K2</f>
        <v>69.57693599999999</v>
      </c>
      <c r="G23" s="1231">
        <v>31.2</v>
      </c>
      <c r="H23" s="1231">
        <v>46.8</v>
      </c>
      <c r="I23" s="1097" t="s">
        <v>1251</v>
      </c>
      <c r="K23" s="1">
        <f>5200*12*1.067*1.045</f>
        <v>69576.936</v>
      </c>
      <c r="T23" s="170"/>
    </row>
    <row r="24" spans="1:9" ht="33.75" customHeight="1">
      <c r="A24" s="1098" t="s">
        <v>966</v>
      </c>
      <c r="B24" s="1093" t="s">
        <v>1202</v>
      </c>
      <c r="C24" s="948">
        <v>0.21186</v>
      </c>
      <c r="D24" s="947"/>
      <c r="E24" s="947">
        <v>2.31695</v>
      </c>
      <c r="F24" s="947">
        <f>E24*J2*K2</f>
        <v>2.5834340042499995</v>
      </c>
      <c r="G24" s="1231"/>
      <c r="H24" s="1231"/>
      <c r="I24" s="1101" t="s">
        <v>969</v>
      </c>
    </row>
    <row r="25" spans="1:20" ht="42.75" customHeight="1">
      <c r="A25" s="1098" t="s">
        <v>967</v>
      </c>
      <c r="B25" s="1093" t="s">
        <v>1202</v>
      </c>
      <c r="C25" s="948">
        <v>15.5934</v>
      </c>
      <c r="D25" s="947">
        <v>16.341883199999998</v>
      </c>
      <c r="E25" s="947">
        <v>16.104000000000003</v>
      </c>
      <c r="F25" s="947">
        <f>E25*J2*K2</f>
        <v>17.95620156</v>
      </c>
      <c r="G25" s="1231">
        <v>3.6</v>
      </c>
      <c r="H25" s="1231">
        <v>5.4</v>
      </c>
      <c r="I25" s="1101" t="s">
        <v>1252</v>
      </c>
      <c r="K25" s="845" t="s">
        <v>968</v>
      </c>
      <c r="T25" s="170"/>
    </row>
    <row r="26" spans="1:9" ht="32.25" customHeight="1">
      <c r="A26" s="1098" t="s">
        <v>1253</v>
      </c>
      <c r="B26" s="1093" t="s">
        <v>1202</v>
      </c>
      <c r="C26" s="948">
        <v>1.5</v>
      </c>
      <c r="D26" s="947">
        <v>3.144</v>
      </c>
      <c r="E26" s="947"/>
      <c r="F26" s="947"/>
      <c r="G26" s="1231"/>
      <c r="H26" s="1231"/>
      <c r="I26" s="1101" t="s">
        <v>1246</v>
      </c>
    </row>
    <row r="27" spans="1:20" ht="24.75" customHeight="1">
      <c r="A27" s="1098" t="s">
        <v>1307</v>
      </c>
      <c r="B27" s="1093" t="s">
        <v>1202</v>
      </c>
      <c r="C27" s="948">
        <v>2.5423600000000004</v>
      </c>
      <c r="D27" s="960">
        <v>2.664406779661017</v>
      </c>
      <c r="E27" s="960">
        <v>2.10169</v>
      </c>
      <c r="F27" s="960">
        <f>E27*J2*K2</f>
        <v>2.34341587535</v>
      </c>
      <c r="G27" s="1234">
        <v>3.55932</v>
      </c>
      <c r="H27" s="1234">
        <v>3.55932</v>
      </c>
      <c r="I27" s="1109" t="s">
        <v>1254</v>
      </c>
      <c r="T27" s="170"/>
    </row>
    <row r="28" spans="1:20" ht="26.25" customHeight="1">
      <c r="A28" s="1275" t="s">
        <v>1306</v>
      </c>
      <c r="B28" s="1093" t="s">
        <v>1202</v>
      </c>
      <c r="C28" s="948">
        <v>20.967</v>
      </c>
      <c r="D28" s="947">
        <v>64.62259344</v>
      </c>
      <c r="E28" s="947">
        <v>3.6071299999999997</v>
      </c>
      <c r="F28" s="947">
        <f>E28*J2*K2</f>
        <v>4.022004056949999</v>
      </c>
      <c r="G28" s="1231">
        <v>11.29068</v>
      </c>
      <c r="H28" s="1231">
        <v>14.28068</v>
      </c>
      <c r="I28" s="1111" t="s">
        <v>336</v>
      </c>
      <c r="T28" s="170"/>
    </row>
    <row r="29" spans="1:9" ht="24.75" customHeight="1">
      <c r="A29" s="1098" t="s">
        <v>639</v>
      </c>
      <c r="B29" s="1093"/>
      <c r="C29" s="948"/>
      <c r="D29" s="947"/>
      <c r="E29" s="947">
        <v>3.77667</v>
      </c>
      <c r="F29" s="947">
        <f>E29*J2*K2</f>
        <v>4.211043700049999</v>
      </c>
      <c r="G29" s="1231">
        <v>6.6</v>
      </c>
      <c r="H29" s="1231">
        <v>9.42333</v>
      </c>
      <c r="I29" s="1101" t="s">
        <v>969</v>
      </c>
    </row>
    <row r="30" spans="1:20" ht="30">
      <c r="A30" s="1098" t="s">
        <v>167</v>
      </c>
      <c r="B30" s="1093" t="s">
        <v>1202</v>
      </c>
      <c r="C30" s="948"/>
      <c r="D30" s="947"/>
      <c r="E30" s="947"/>
      <c r="F30" s="947"/>
      <c r="G30" s="1231"/>
      <c r="H30" s="1231"/>
      <c r="I30" s="1094"/>
      <c r="T30" s="170"/>
    </row>
    <row r="31" spans="1:11" ht="24.75" customHeight="1">
      <c r="A31" s="1098" t="s">
        <v>638</v>
      </c>
      <c r="B31" s="1093"/>
      <c r="C31" s="948"/>
      <c r="D31" s="947"/>
      <c r="E31" s="947">
        <v>1.1561199999999998</v>
      </c>
      <c r="F31" s="947">
        <f>E31*J31*K31</f>
        <v>1.3211399443199998</v>
      </c>
      <c r="G31" s="1231">
        <v>1.1561199999999998</v>
      </c>
      <c r="H31" s="1231">
        <v>1.7451499999999998</v>
      </c>
      <c r="I31" s="1112" t="s">
        <v>151</v>
      </c>
      <c r="J31" s="1">
        <v>1.064</v>
      </c>
      <c r="K31" s="1">
        <v>1.074</v>
      </c>
    </row>
    <row r="32" spans="1:20" ht="33.75" customHeight="1">
      <c r="A32" s="1098" t="s">
        <v>1250</v>
      </c>
      <c r="B32" s="1093" t="s">
        <v>1202</v>
      </c>
      <c r="C32" s="948">
        <v>3.09322</v>
      </c>
      <c r="D32" s="960">
        <v>2.84202928</v>
      </c>
      <c r="E32" s="960">
        <v>1.48305</v>
      </c>
      <c r="F32" s="960">
        <f>E32*J2*K2</f>
        <v>1.6536229957499997</v>
      </c>
      <c r="G32" s="1234"/>
      <c r="H32" s="1234"/>
      <c r="I32" s="1094" t="s">
        <v>334</v>
      </c>
      <c r="T32" s="170"/>
    </row>
    <row r="33" spans="1:20" ht="31.5" customHeight="1">
      <c r="A33" s="1098" t="s">
        <v>165</v>
      </c>
      <c r="B33" s="1093" t="s">
        <v>1202</v>
      </c>
      <c r="C33" s="948"/>
      <c r="D33" s="960">
        <v>0.27248</v>
      </c>
      <c r="E33" s="960">
        <v>0.26</v>
      </c>
      <c r="F33" s="960">
        <f>E33*J2*K2</f>
        <v>0.2899039</v>
      </c>
      <c r="G33" s="1234"/>
      <c r="H33" s="1234">
        <v>0.195</v>
      </c>
      <c r="I33" s="1105" t="s">
        <v>340</v>
      </c>
      <c r="T33" s="170"/>
    </row>
    <row r="34" spans="1:20" ht="18.75" customHeight="1">
      <c r="A34" s="1098" t="s">
        <v>450</v>
      </c>
      <c r="B34" s="1093" t="s">
        <v>1202</v>
      </c>
      <c r="C34" s="948">
        <v>409.2209154577642</v>
      </c>
      <c r="D34" s="947"/>
      <c r="E34" s="947">
        <v>236.37963759712943</v>
      </c>
      <c r="F34" s="947">
        <f>E34*J2*K2</f>
        <v>263.5668416153632</v>
      </c>
      <c r="G34" s="1231">
        <v>109.94005890883375</v>
      </c>
      <c r="H34" s="1281">
        <v>163.8419168463497</v>
      </c>
      <c r="I34" s="1094"/>
      <c r="K34" s="2"/>
      <c r="L34" s="3"/>
      <c r="T34" s="170"/>
    </row>
    <row r="35" spans="1:9" ht="24.75" customHeight="1">
      <c r="A35" s="1092" t="s">
        <v>1255</v>
      </c>
      <c r="B35" s="1093" t="s">
        <v>1202</v>
      </c>
      <c r="C35" s="948"/>
      <c r="D35" s="947">
        <v>884.3439877799993</v>
      </c>
      <c r="E35" s="947">
        <f>E37+E36</f>
        <v>898.4870000000001</v>
      </c>
      <c r="F35" s="947">
        <f>F36+F37</f>
        <v>876.8510907523397</v>
      </c>
      <c r="G35" s="947">
        <f>G36+G37</f>
        <v>439.80600000000004</v>
      </c>
      <c r="H35" s="1231">
        <f>H36+H37</f>
        <v>660.805</v>
      </c>
      <c r="I35" s="1101"/>
    </row>
    <row r="36" spans="1:20" ht="30.75" customHeight="1">
      <c r="A36" s="1113" t="s">
        <v>1168</v>
      </c>
      <c r="B36" s="1114" t="s">
        <v>1202</v>
      </c>
      <c r="C36" s="1115" t="s">
        <v>1256</v>
      </c>
      <c r="D36" s="1116">
        <v>884.3439877799993</v>
      </c>
      <c r="E36" s="1116">
        <v>892.4870000000001</v>
      </c>
      <c r="F36" s="1116">
        <f>амортизация!F550/1000</f>
        <v>870.1610007523396</v>
      </c>
      <c r="G36" s="1116">
        <v>436.80600000000004</v>
      </c>
      <c r="H36" s="1274">
        <v>656.305</v>
      </c>
      <c r="I36" s="1117" t="s">
        <v>973</v>
      </c>
      <c r="T36" s="170"/>
    </row>
    <row r="37" spans="1:11" ht="23.25" customHeight="1">
      <c r="A37" s="1118" t="s">
        <v>166</v>
      </c>
      <c r="B37" s="1093" t="s">
        <v>1202</v>
      </c>
      <c r="C37" s="1119"/>
      <c r="D37" s="1120"/>
      <c r="E37" s="960">
        <v>6</v>
      </c>
      <c r="F37" s="960">
        <f>E37*J2*K2</f>
        <v>6.690089999999999</v>
      </c>
      <c r="G37" s="1234">
        <v>3</v>
      </c>
      <c r="H37" s="1234">
        <v>4.5</v>
      </c>
      <c r="I37" s="1101" t="s">
        <v>969</v>
      </c>
      <c r="K37" s="3"/>
    </row>
    <row r="38" spans="1:9" ht="40.5" customHeight="1">
      <c r="A38" s="1118" t="s">
        <v>1064</v>
      </c>
      <c r="B38" s="1093"/>
      <c r="C38" s="1119"/>
      <c r="D38" s="1120"/>
      <c r="E38" s="1120"/>
      <c r="F38" s="947">
        <f>900/1.18</f>
        <v>762.7118644067797</v>
      </c>
      <c r="G38" s="1231"/>
      <c r="H38" s="1231"/>
      <c r="I38" s="1105" t="s">
        <v>857</v>
      </c>
    </row>
    <row r="39" spans="1:21" ht="38.25" customHeight="1">
      <c r="A39" s="1118" t="s">
        <v>1039</v>
      </c>
      <c r="B39" s="1093" t="s">
        <v>1202</v>
      </c>
      <c r="C39" s="1119"/>
      <c r="D39" s="1120"/>
      <c r="E39" s="1120"/>
      <c r="F39" s="1120"/>
      <c r="G39" s="1244"/>
      <c r="H39" s="1244"/>
      <c r="I39" s="1121"/>
      <c r="U39" s="170" t="e">
        <f>#REF!/12</f>
        <v>#REF!</v>
      </c>
    </row>
    <row r="40" spans="1:13" ht="33.75" customHeight="1">
      <c r="A40" s="1122" t="s">
        <v>1257</v>
      </c>
      <c r="B40" s="1093" t="s">
        <v>1202</v>
      </c>
      <c r="C40" s="950">
        <v>3385.8607654577636</v>
      </c>
      <c r="D40" s="947">
        <f>SUM(D7:D16,D4:D5)+SUM(D19:D35)-D36</f>
        <v>731.8759038706911</v>
      </c>
      <c r="E40" s="947">
        <f>SUM(E7:E16,E4:E5)+SUM(E19:E35)-E36</f>
        <v>1725.716897597129</v>
      </c>
      <c r="F40" s="947">
        <f>SUM(F7:F16,F4:F5)+SUM(F19:F35)-F36+F38</f>
        <v>1760.4470081272032</v>
      </c>
      <c r="G40" s="947">
        <f>SUM(G7:G16,G4:G5)+SUM(G19:G35)-G36+G38</f>
        <v>1552.462418908834</v>
      </c>
      <c r="H40" s="947">
        <f>SUM(H7:H16,H4:H5)+SUM(H19:H35)-H36+H38</f>
        <v>2313.26264684635</v>
      </c>
      <c r="I40" s="1123"/>
      <c r="J40" s="3">
        <v>6923.52900770227</v>
      </c>
      <c r="K40" s="61">
        <v>2149.423100000001</v>
      </c>
      <c r="L40" s="3">
        <f>H40-K40</f>
        <v>163.8395468463491</v>
      </c>
      <c r="M40" s="3"/>
    </row>
    <row r="41" spans="1:13" ht="22.5" customHeight="1">
      <c r="A41" s="1106" t="s">
        <v>1258</v>
      </c>
      <c r="B41" s="1093" t="s">
        <v>1202</v>
      </c>
      <c r="C41" s="949">
        <v>1172.1582746873814</v>
      </c>
      <c r="D41" s="947"/>
      <c r="E41" s="948">
        <f>E40*E47</f>
        <v>811.3360533645949</v>
      </c>
      <c r="F41" s="948">
        <f>F40*F47</f>
        <v>785.7601135757092</v>
      </c>
      <c r="G41" s="948">
        <f>G40*G47</f>
        <v>742.7080545138798</v>
      </c>
      <c r="H41" s="1232">
        <f>H40*H47</f>
        <v>1095.103050978579</v>
      </c>
      <c r="I41" s="1121"/>
      <c r="J41" s="638"/>
      <c r="K41" s="3"/>
      <c r="L41" s="3"/>
      <c r="M41" s="65"/>
    </row>
    <row r="42" spans="1:13" ht="22.5" customHeight="1">
      <c r="A42" s="1276" t="s">
        <v>1259</v>
      </c>
      <c r="B42" s="1093" t="s">
        <v>1202</v>
      </c>
      <c r="C42" s="949" t="e">
        <v>#REF!</v>
      </c>
      <c r="D42" s="947"/>
      <c r="E42" s="948">
        <f>E40*E48</f>
        <v>896.3798306410786</v>
      </c>
      <c r="F42" s="948">
        <f>F40*F48</f>
        <v>920.401474632395</v>
      </c>
      <c r="G42" s="948">
        <f>G40*G48</f>
        <v>792.0883678915404</v>
      </c>
      <c r="H42" s="948">
        <f>H40*H48</f>
        <v>1188.0334908938544</v>
      </c>
      <c r="I42" s="1121"/>
      <c r="J42" s="3"/>
      <c r="K42" s="3"/>
      <c r="M42" s="3"/>
    </row>
    <row r="43" spans="1:13" ht="25.5" customHeight="1" thickBot="1">
      <c r="A43" s="1277" t="s">
        <v>1260</v>
      </c>
      <c r="B43" s="1124" t="s">
        <v>1202</v>
      </c>
      <c r="C43" s="1125"/>
      <c r="D43" s="1126"/>
      <c r="E43" s="1127">
        <f>E40*E49</f>
        <v>18.001013591455273</v>
      </c>
      <c r="F43" s="1127">
        <f>F40*F49</f>
        <v>54.28541991909908</v>
      </c>
      <c r="G43" s="1127">
        <f>G40*G49</f>
        <v>17.665996503413695</v>
      </c>
      <c r="H43" s="1127">
        <f>H40*H49</f>
        <v>30.12610497391634</v>
      </c>
      <c r="I43" s="1128"/>
      <c r="J43" s="65"/>
      <c r="K43" s="65"/>
      <c r="L43" s="65"/>
      <c r="M43" s="3"/>
    </row>
    <row r="44" spans="1:10" ht="4.5" customHeight="1">
      <c r="A44" s="22"/>
      <c r="B44" s="73"/>
      <c r="C44" s="22"/>
      <c r="D44" s="1780"/>
      <c r="E44" s="1780"/>
      <c r="F44" s="1780"/>
      <c r="G44" s="1780"/>
      <c r="H44" s="1780"/>
      <c r="I44" s="1780"/>
      <c r="J44" s="3"/>
    </row>
    <row r="45" spans="1:11" ht="26.25" customHeight="1" thickBot="1">
      <c r="A45" s="174"/>
      <c r="B45" s="68"/>
      <c r="C45" s="174"/>
      <c r="D45" s="1782" t="s">
        <v>288</v>
      </c>
      <c r="E45" s="1783"/>
      <c r="F45" s="1783"/>
      <c r="G45" s="1783"/>
      <c r="H45" s="1784"/>
      <c r="I45" s="19"/>
      <c r="K45" s="65"/>
    </row>
    <row r="46" spans="1:12" ht="24" customHeight="1">
      <c r="A46" s="68"/>
      <c r="B46" s="68"/>
      <c r="C46" s="72"/>
      <c r="D46" s="441"/>
      <c r="E46" s="606" t="s">
        <v>869</v>
      </c>
      <c r="F46" s="606" t="s">
        <v>868</v>
      </c>
      <c r="G46" s="1229" t="s">
        <v>1299</v>
      </c>
      <c r="H46" s="606" t="s">
        <v>1308</v>
      </c>
      <c r="I46" s="30"/>
      <c r="K46" s="65">
        <v>2580.57921</v>
      </c>
      <c r="L46" s="582">
        <f>K46/K49</f>
        <v>0.47340195133982</v>
      </c>
    </row>
    <row r="47" spans="1:18" ht="18.75" customHeight="1">
      <c r="A47" s="1148" t="s">
        <v>1258</v>
      </c>
      <c r="B47" s="72" t="s">
        <v>289</v>
      </c>
      <c r="C47" s="175" t="s">
        <v>1258</v>
      </c>
      <c r="D47" s="173"/>
      <c r="E47" s="178">
        <v>0.47014435246840963</v>
      </c>
      <c r="F47" s="178">
        <v>0.44634124739239706</v>
      </c>
      <c r="G47" s="178">
        <v>0.47840646283463706</v>
      </c>
      <c r="H47" s="178">
        <v>0.47340195133982</v>
      </c>
      <c r="I47" s="74"/>
      <c r="K47" s="2">
        <v>2799.56715</v>
      </c>
      <c r="L47" s="582">
        <f>K47/K49</f>
        <v>0.5135748387730592</v>
      </c>
      <c r="N47" s="1781" t="s">
        <v>678</v>
      </c>
      <c r="O47" s="1781"/>
      <c r="P47" s="1781"/>
      <c r="Q47" s="1781"/>
      <c r="R47" s="1781"/>
    </row>
    <row r="48" spans="1:12" ht="15.75" customHeight="1">
      <c r="A48" s="1148" t="s">
        <v>1259</v>
      </c>
      <c r="B48" s="72" t="s">
        <v>289</v>
      </c>
      <c r="C48" s="176" t="s">
        <v>1259</v>
      </c>
      <c r="D48" s="31"/>
      <c r="E48" s="178">
        <v>0.5194246123968473</v>
      </c>
      <c r="F48" s="178">
        <v>0.5228225958425954</v>
      </c>
      <c r="G48" s="178">
        <v>0.5102141979374089</v>
      </c>
      <c r="H48" s="178">
        <v>0.5135748387730592</v>
      </c>
      <c r="I48" s="74"/>
      <c r="K48" s="2">
        <v>70.99131</v>
      </c>
      <c r="L48" s="582">
        <f>K48/K49</f>
        <v>0.013023209887120682</v>
      </c>
    </row>
    <row r="49" spans="1:19" ht="18" customHeight="1">
      <c r="A49" s="1148" t="s">
        <v>1260</v>
      </c>
      <c r="B49" s="72" t="s">
        <v>289</v>
      </c>
      <c r="C49" s="177" t="s">
        <v>1260</v>
      </c>
      <c r="D49" s="31"/>
      <c r="E49" s="178">
        <v>0.01043103513474296</v>
      </c>
      <c r="F49" s="1315">
        <v>0.030836156765007616</v>
      </c>
      <c r="G49" s="178">
        <v>0.01137933922795403</v>
      </c>
      <c r="H49" s="178">
        <v>0.013023209887120682</v>
      </c>
      <c r="I49" s="74"/>
      <c r="K49" s="3">
        <f>K48+K47+K46</f>
        <v>5451.13767</v>
      </c>
      <c r="N49" s="422"/>
      <c r="O49" s="420">
        <v>0.2734899777332944</v>
      </c>
      <c r="P49" s="1" t="s">
        <v>665</v>
      </c>
      <c r="Q49" s="65">
        <f>N50*O49</f>
        <v>3.0930592550220255</v>
      </c>
      <c r="R49" s="65">
        <f>Q49*E47</f>
        <v>1.4541843405987516</v>
      </c>
      <c r="S49" s="1">
        <v>1482.5993185052628</v>
      </c>
    </row>
    <row r="50" spans="1:19" ht="7.5" customHeight="1">
      <c r="A50" s="22"/>
      <c r="B50" s="73"/>
      <c r="C50" s="22"/>
      <c r="D50" s="22"/>
      <c r="E50" s="22"/>
      <c r="F50" s="22"/>
      <c r="G50" s="22"/>
      <c r="H50" s="22"/>
      <c r="I50" s="22"/>
      <c r="N50" s="65">
        <v>11.30958904109589</v>
      </c>
      <c r="O50" s="420">
        <v>0.2539026182141116</v>
      </c>
      <c r="P50" s="1" t="s">
        <v>666</v>
      </c>
      <c r="Q50" s="65"/>
      <c r="R50" s="65">
        <f>Q49*E48</f>
        <v>1.6066111046602969</v>
      </c>
      <c r="S50" s="1">
        <f>S49*E47</f>
        <v>697.0356965687622</v>
      </c>
    </row>
    <row r="51" spans="1:9" ht="32.25" customHeight="1">
      <c r="A51" s="1279"/>
      <c r="B51" s="1279"/>
      <c r="C51" s="1279"/>
      <c r="D51" s="1279"/>
      <c r="E51" s="1279"/>
      <c r="F51" s="1279"/>
      <c r="G51" s="1279"/>
      <c r="H51" s="1279"/>
      <c r="I51" s="1280"/>
    </row>
    <row r="52" spans="3:9" ht="12.75">
      <c r="C52" s="67"/>
      <c r="D52" s="67"/>
      <c r="E52" s="67"/>
      <c r="F52" s="67"/>
      <c r="G52" s="67"/>
      <c r="H52" s="67"/>
      <c r="I52" s="67"/>
    </row>
    <row r="53" spans="1:9" ht="18.75">
      <c r="A53" s="122" t="s">
        <v>948</v>
      </c>
      <c r="C53" s="67"/>
      <c r="D53" s="67"/>
      <c r="E53" s="67"/>
      <c r="F53" s="67"/>
      <c r="G53" s="67"/>
      <c r="H53" s="67"/>
      <c r="I53" s="67"/>
    </row>
    <row r="54" spans="1:9" ht="18.75">
      <c r="A54" s="122"/>
      <c r="C54" s="67"/>
      <c r="D54" s="67"/>
      <c r="E54" s="67"/>
      <c r="F54" s="67"/>
      <c r="G54" s="67"/>
      <c r="H54" s="67"/>
      <c r="I54" s="67"/>
    </row>
  </sheetData>
  <sheetProtection/>
  <mergeCells count="4">
    <mergeCell ref="A1:I1"/>
    <mergeCell ref="D44:I44"/>
    <mergeCell ref="N47:R47"/>
    <mergeCell ref="D45:H45"/>
  </mergeCells>
  <printOptions horizontalCentered="1"/>
  <pageMargins left="0.3937007874015748" right="0.3937007874015748" top="0.29" bottom="0.21" header="0" footer="0"/>
  <pageSetup fitToHeight="2" horizontalDpi="600" verticalDpi="600" orientation="portrait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69"/>
  <sheetViews>
    <sheetView zoomScale="70" zoomScaleNormal="70" zoomScalePageLayoutView="0" workbookViewId="0" topLeftCell="B1">
      <pane xSplit="3" ySplit="2" topLeftCell="E48" activePane="bottomRight" state="frozen"/>
      <selection pane="topLeft" activeCell="B1" sqref="B1"/>
      <selection pane="topRight" activeCell="E1" sqref="E1"/>
      <selection pane="bottomLeft" activeCell="B3" sqref="B3"/>
      <selection pane="bottomRight" activeCell="U61" sqref="U61"/>
    </sheetView>
  </sheetViews>
  <sheetFormatPr defaultColWidth="9.140625" defaultRowHeight="12.75" zeroHeight="1"/>
  <cols>
    <col min="1" max="1" width="0" style="188" hidden="1" customWidth="1"/>
    <col min="2" max="2" width="0.13671875" style="188" customWidth="1"/>
    <col min="3" max="3" width="5.7109375" style="188" customWidth="1"/>
    <col min="4" max="4" width="34.8515625" style="188" customWidth="1"/>
    <col min="5" max="5" width="8.00390625" style="188" customWidth="1"/>
    <col min="6" max="6" width="12.00390625" style="188" customWidth="1"/>
    <col min="7" max="7" width="11.7109375" style="188" customWidth="1"/>
    <col min="8" max="8" width="16.00390625" style="188" customWidth="1"/>
    <col min="9" max="9" width="15.140625" style="188" customWidth="1"/>
    <col min="10" max="11" width="14.421875" style="188" customWidth="1"/>
    <col min="12" max="12" width="13.421875" style="188" customWidth="1"/>
    <col min="13" max="14" width="12.7109375" style="188" customWidth="1"/>
    <col min="15" max="15" width="11.00390625" style="188" customWidth="1"/>
    <col min="16" max="16" width="12.8515625" style="188" customWidth="1"/>
    <col min="17" max="18" width="12.28125" style="188" customWidth="1"/>
    <col min="19" max="19" width="12.00390625" style="188" customWidth="1"/>
    <col min="20" max="20" width="14.28125" style="188" customWidth="1"/>
    <col min="21" max="21" width="12.421875" style="188" customWidth="1"/>
    <col min="22" max="22" width="14.57421875" style="250" customWidth="1"/>
    <col min="23" max="23" width="16.8515625" style="188" customWidth="1"/>
    <col min="24" max="24" width="13.00390625" style="188" customWidth="1"/>
    <col min="25" max="16384" width="9.140625" style="188" customWidth="1"/>
  </cols>
  <sheetData>
    <row r="1" spans="3:23" s="180" customFormat="1" ht="32.25" customHeight="1" thickBot="1">
      <c r="C1" s="181"/>
      <c r="D1" s="181"/>
      <c r="E1" s="1813" t="s">
        <v>1395</v>
      </c>
      <c r="F1" s="1813"/>
      <c r="G1" s="1813"/>
      <c r="H1" s="1813"/>
      <c r="I1" s="1813"/>
      <c r="J1" s="1813"/>
      <c r="K1" s="1813"/>
      <c r="L1" s="1813"/>
      <c r="M1" s="1813"/>
      <c r="N1" s="1813"/>
      <c r="O1" s="1813"/>
      <c r="P1" s="1813"/>
      <c r="Q1" s="1813"/>
      <c r="R1" s="1813"/>
      <c r="S1" s="1813"/>
      <c r="T1" s="1813"/>
      <c r="U1" s="1813"/>
      <c r="V1" s="1813"/>
      <c r="W1" s="1813"/>
    </row>
    <row r="2" spans="3:24" s="182" customFormat="1" ht="141.75" customHeight="1">
      <c r="C2" s="1785" t="s">
        <v>189</v>
      </c>
      <c r="D2" s="894" t="s">
        <v>190</v>
      </c>
      <c r="E2" s="895" t="s">
        <v>191</v>
      </c>
      <c r="F2" s="895" t="s">
        <v>192</v>
      </c>
      <c r="G2" s="894" t="s">
        <v>193</v>
      </c>
      <c r="H2" s="894" t="s">
        <v>194</v>
      </c>
      <c r="I2" s="894" t="s">
        <v>1261</v>
      </c>
      <c r="J2" s="894" t="s">
        <v>940</v>
      </c>
      <c r="K2" s="894" t="s">
        <v>1263</v>
      </c>
      <c r="L2" s="894" t="s">
        <v>1264</v>
      </c>
      <c r="M2" s="894" t="s">
        <v>1043</v>
      </c>
      <c r="N2" s="894" t="s">
        <v>1265</v>
      </c>
      <c r="O2" s="894" t="s">
        <v>293</v>
      </c>
      <c r="P2" s="894" t="s">
        <v>1266</v>
      </c>
      <c r="Q2" s="894" t="s">
        <v>897</v>
      </c>
      <c r="R2" s="894" t="s">
        <v>898</v>
      </c>
      <c r="S2" s="894" t="s">
        <v>899</v>
      </c>
      <c r="T2" s="894" t="s">
        <v>900</v>
      </c>
      <c r="U2" s="895" t="s">
        <v>901</v>
      </c>
      <c r="V2" s="896" t="s">
        <v>902</v>
      </c>
      <c r="W2" s="897" t="s">
        <v>152</v>
      </c>
      <c r="X2" s="187"/>
    </row>
    <row r="3" spans="3:24" ht="23.25" customHeight="1">
      <c r="C3" s="1786"/>
      <c r="D3" s="884" t="s">
        <v>904</v>
      </c>
      <c r="E3" s="374"/>
      <c r="F3" s="885">
        <v>4936</v>
      </c>
      <c r="G3" s="375"/>
      <c r="H3" s="374"/>
      <c r="I3" s="374"/>
      <c r="J3" s="374"/>
      <c r="K3" s="374"/>
      <c r="L3" s="374"/>
      <c r="M3" s="903"/>
      <c r="N3" s="903"/>
      <c r="O3" s="903"/>
      <c r="P3" s="904"/>
      <c r="Q3" s="374"/>
      <c r="R3" s="374"/>
      <c r="S3" s="374"/>
      <c r="T3" s="374"/>
      <c r="U3" s="374"/>
      <c r="V3" s="884"/>
      <c r="W3" s="940"/>
      <c r="X3" s="187"/>
    </row>
    <row r="4" spans="1:25" s="205" customFormat="1" ht="27.75" customHeight="1">
      <c r="A4" s="195"/>
      <c r="B4" s="196"/>
      <c r="C4" s="1786"/>
      <c r="D4" s="373" t="s">
        <v>905</v>
      </c>
      <c r="E4" s="374">
        <v>1</v>
      </c>
      <c r="F4" s="374">
        <v>1.06</v>
      </c>
      <c r="G4" s="375">
        <v>6</v>
      </c>
      <c r="H4" s="376">
        <f>F3*F4*Y4</f>
        <v>5467.6071999999995</v>
      </c>
      <c r="I4" s="887">
        <v>11</v>
      </c>
      <c r="J4" s="376">
        <f>I4*H4*G4</f>
        <v>360862.07519999996</v>
      </c>
      <c r="K4" s="378">
        <f>(J4/G4*0.1+J4/G4*0.2+J4/G4*0.05)*1.75</f>
        <v>36838.003509999995</v>
      </c>
      <c r="L4" s="905">
        <f>J4/3*0.4*1.75</f>
        <v>84201.15088</v>
      </c>
      <c r="M4" s="380">
        <f>31.84*24*14</f>
        <v>10698.24</v>
      </c>
      <c r="N4" s="380">
        <f>31.84*8*20%*(6-3)*14</f>
        <v>2139.648</v>
      </c>
      <c r="O4" s="380">
        <f>14*11*46.26*0.5*G4*Y4</f>
        <v>22333.8654</v>
      </c>
      <c r="P4" s="380">
        <f>J4*0.04*1.75</f>
        <v>25260.345264</v>
      </c>
      <c r="Q4" s="380">
        <f>R4/28*7</f>
        <v>18143.17356737073</v>
      </c>
      <c r="R4" s="380">
        <f>(J4+K4+L4+M4+P4+S4+T4+U4+N4)/(330*12/365)/29.4*28</f>
        <v>72572.69426948292</v>
      </c>
      <c r="S4" s="380">
        <f aca="true" t="shared" si="0" ref="S4:S9">J4*0.1</f>
        <v>36086.207519999996</v>
      </c>
      <c r="T4" s="376">
        <f aca="true" t="shared" si="1" ref="T4:T9">J4*0.75</f>
        <v>270646.5564</v>
      </c>
      <c r="U4" s="376"/>
      <c r="V4" s="381">
        <f>SUM(J4:U4)</f>
        <v>939781.9600108535</v>
      </c>
      <c r="W4" s="899">
        <f>V4/G4/12</f>
        <v>13052.527222372964</v>
      </c>
      <c r="X4" s="204"/>
      <c r="Y4" s="205">
        <v>1.045</v>
      </c>
    </row>
    <row r="5" spans="1:25" ht="20.25" customHeight="1">
      <c r="A5" s="206"/>
      <c r="B5" s="207"/>
      <c r="C5" s="1786"/>
      <c r="D5" s="373" t="s">
        <v>906</v>
      </c>
      <c r="E5" s="374">
        <v>5</v>
      </c>
      <c r="F5" s="374">
        <v>1.94</v>
      </c>
      <c r="G5" s="375">
        <v>1</v>
      </c>
      <c r="H5" s="376">
        <f>F$3*F5*Y5</f>
        <v>10006.7528</v>
      </c>
      <c r="I5" s="887">
        <v>11</v>
      </c>
      <c r="J5" s="376">
        <f>I5*H5*G5</f>
        <v>110074.28080000001</v>
      </c>
      <c r="K5" s="378">
        <f>(J5/G5*0.15)*1.75</f>
        <v>28894.49871</v>
      </c>
      <c r="L5" s="905"/>
      <c r="M5" s="380"/>
      <c r="N5" s="380"/>
      <c r="O5" s="380">
        <f>227*46.26*0.5*1*Y5</f>
        <v>5486.78295</v>
      </c>
      <c r="P5" s="380"/>
      <c r="Q5" s="380"/>
      <c r="R5" s="380">
        <f>(J5+K5+L5+M5+P5+S5+T5+U5)/11/29.4*28</f>
        <v>20132.633609523815</v>
      </c>
      <c r="S5" s="380">
        <f t="shared" si="0"/>
        <v>11007.428080000002</v>
      </c>
      <c r="T5" s="376">
        <f t="shared" si="1"/>
        <v>82555.7106</v>
      </c>
      <c r="U5" s="376"/>
      <c r="V5" s="381">
        <f>SUM(J5:U5)</f>
        <v>258151.33474952384</v>
      </c>
      <c r="W5" s="899">
        <f>V5/G5/12</f>
        <v>21512.611229126986</v>
      </c>
      <c r="X5" s="204"/>
      <c r="Y5" s="205">
        <v>1.045</v>
      </c>
    </row>
    <row r="6" spans="1:25" ht="31.5">
      <c r="A6" s="206"/>
      <c r="B6" s="207"/>
      <c r="C6" s="1786"/>
      <c r="D6" s="373" t="s">
        <v>907</v>
      </c>
      <c r="E6" s="374">
        <v>5</v>
      </c>
      <c r="F6" s="374">
        <v>1.94</v>
      </c>
      <c r="G6" s="375">
        <v>2</v>
      </c>
      <c r="H6" s="376">
        <f>F$3*F6*Y6</f>
        <v>10006.7528</v>
      </c>
      <c r="I6" s="887">
        <v>11</v>
      </c>
      <c r="J6" s="376">
        <f>I6*H6*G6</f>
        <v>220148.56160000002</v>
      </c>
      <c r="K6" s="378">
        <f>(J6/G6*0.15*1)*1.75</f>
        <v>28894.49871</v>
      </c>
      <c r="L6" s="378"/>
      <c r="M6" s="379"/>
      <c r="N6" s="379"/>
      <c r="O6" s="379"/>
      <c r="P6" s="380">
        <f>J6*0.04*1.75</f>
        <v>15410.399312000003</v>
      </c>
      <c r="Q6" s="379"/>
      <c r="R6" s="380">
        <f>(J6+K6+L6+M6+P6+S6+T6+U6)/11/29.4*28</f>
        <v>39097.81272571429</v>
      </c>
      <c r="S6" s="380">
        <f t="shared" si="0"/>
        <v>22014.856160000003</v>
      </c>
      <c r="T6" s="376">
        <f t="shared" si="1"/>
        <v>165111.4212</v>
      </c>
      <c r="U6" s="376"/>
      <c r="V6" s="381">
        <f>SUM(J6:U6)</f>
        <v>490677.54970771435</v>
      </c>
      <c r="W6" s="899">
        <f>V6/G6/12</f>
        <v>20444.897904488098</v>
      </c>
      <c r="X6" s="210">
        <f>W6/G6/12</f>
        <v>851.8707460203374</v>
      </c>
      <c r="Y6" s="205">
        <v>1.045</v>
      </c>
    </row>
    <row r="7" spans="1:25" ht="15.75">
      <c r="A7" s="211"/>
      <c r="B7" s="212"/>
      <c r="C7" s="1786"/>
      <c r="D7" s="884" t="s">
        <v>908</v>
      </c>
      <c r="E7" s="374"/>
      <c r="F7" s="374"/>
      <c r="G7" s="375"/>
      <c r="H7" s="893"/>
      <c r="I7" s="887"/>
      <c r="J7" s="887"/>
      <c r="K7" s="1129"/>
      <c r="L7" s="887"/>
      <c r="M7" s="887"/>
      <c r="N7" s="380"/>
      <c r="O7" s="380"/>
      <c r="P7" s="380"/>
      <c r="Q7" s="380"/>
      <c r="R7" s="380">
        <f>(J7+K7+L7+M7+P7+S7+T7+U7)/10.85/29.4*28</f>
        <v>0</v>
      </c>
      <c r="S7" s="380">
        <f t="shared" si="0"/>
        <v>0</v>
      </c>
      <c r="T7" s="376">
        <f t="shared" si="1"/>
        <v>0</v>
      </c>
      <c r="U7" s="376"/>
      <c r="V7" s="381"/>
      <c r="W7" s="899"/>
      <c r="X7" s="204"/>
      <c r="Y7" s="205">
        <v>1.045</v>
      </c>
    </row>
    <row r="8" spans="1:25" ht="31.5">
      <c r="A8" s="211"/>
      <c r="B8" s="212"/>
      <c r="C8" s="1786"/>
      <c r="D8" s="373" t="s">
        <v>909</v>
      </c>
      <c r="E8" s="374">
        <v>3</v>
      </c>
      <c r="F8" s="374">
        <v>1.32</v>
      </c>
      <c r="G8" s="375">
        <v>4</v>
      </c>
      <c r="H8" s="376">
        <f>F$3*F8*Y8</f>
        <v>6808.7184</v>
      </c>
      <c r="I8" s="887">
        <v>11</v>
      </c>
      <c r="J8" s="376">
        <f>I8*H8*G8</f>
        <v>299583.60959999997</v>
      </c>
      <c r="K8" s="378">
        <f>(J8/G8*0.1*1.75)+(J8/G8*0.25*1.75)+(J8/G8*0.05*2*1.75)</f>
        <v>58980.52313999999</v>
      </c>
      <c r="L8" s="905">
        <f>J8/3*0.4*1.75</f>
        <v>69902.84224</v>
      </c>
      <c r="M8" s="380">
        <f>39.7*24*14</f>
        <v>13339.2</v>
      </c>
      <c r="N8" s="380">
        <f>39.7*8*20%*(4-3)*14</f>
        <v>889.2800000000002</v>
      </c>
      <c r="O8" s="380">
        <f>14*11*46.26*0.5*G8*Y8</f>
        <v>14889.2436</v>
      </c>
      <c r="P8" s="380">
        <f>J8*0.04*1.75</f>
        <v>20970.852671999997</v>
      </c>
      <c r="Q8" s="380"/>
      <c r="R8" s="380">
        <f>(J8+K8+L8+M8+P8+S8+T8+U8)/11/29.4*28</f>
        <v>62114.55374995671</v>
      </c>
      <c r="S8" s="380">
        <f t="shared" si="0"/>
        <v>29958.360959999998</v>
      </c>
      <c r="T8" s="376">
        <f t="shared" si="1"/>
        <v>224687.70719999998</v>
      </c>
      <c r="U8" s="376"/>
      <c r="V8" s="381">
        <f>SUM(J8:U8)</f>
        <v>795316.1731619566</v>
      </c>
      <c r="W8" s="899">
        <f>V8/G8/12</f>
        <v>16569.086940874095</v>
      </c>
      <c r="X8" s="204"/>
      <c r="Y8" s="205">
        <v>1.045</v>
      </c>
    </row>
    <row r="9" spans="1:25" ht="24" customHeight="1">
      <c r="A9" s="211"/>
      <c r="B9" s="212"/>
      <c r="C9" s="1786"/>
      <c r="D9" s="373" t="s">
        <v>910</v>
      </c>
      <c r="E9" s="374">
        <v>1</v>
      </c>
      <c r="F9" s="374">
        <v>1.06</v>
      </c>
      <c r="G9" s="375">
        <v>5</v>
      </c>
      <c r="H9" s="376">
        <f>F$3*F9*Y9</f>
        <v>5467.6071999999995</v>
      </c>
      <c r="I9" s="887">
        <v>11</v>
      </c>
      <c r="J9" s="376">
        <f>I9*H9*G9</f>
        <v>300718.39599999995</v>
      </c>
      <c r="K9" s="378">
        <f>(J9/G9*0.2*1.75*3)+(J9/G9*0.25*1.75*2)</f>
        <v>115776.58245999999</v>
      </c>
      <c r="L9" s="905">
        <f>J9/3*0.4*1.75</f>
        <v>70167.62573333332</v>
      </c>
      <c r="M9" s="380">
        <f>31.84*24*14</f>
        <v>10698.24</v>
      </c>
      <c r="N9" s="380">
        <f>31.84*8*20%*(5-3)*14</f>
        <v>1426.432</v>
      </c>
      <c r="O9" s="380"/>
      <c r="P9" s="380">
        <f>J9*0.04*1.75</f>
        <v>21050.287719999997</v>
      </c>
      <c r="Q9" s="380">
        <f>R9/28*7</f>
        <v>17017.712433102857</v>
      </c>
      <c r="R9" s="380">
        <f>(J9+K9+L9+M9+P9+S9+T9+U9+N9)/(330*12/365)/29.4*28</f>
        <v>68070.84973241143</v>
      </c>
      <c r="S9" s="380">
        <f t="shared" si="0"/>
        <v>30071.839599999996</v>
      </c>
      <c r="T9" s="376">
        <f t="shared" si="1"/>
        <v>225538.79699999996</v>
      </c>
      <c r="U9" s="376"/>
      <c r="V9" s="381">
        <f>SUM(J9:U9)</f>
        <v>860536.7626788474</v>
      </c>
      <c r="W9" s="899">
        <f>V9/G9/12</f>
        <v>14342.27937798079</v>
      </c>
      <c r="X9" s="204"/>
      <c r="Y9" s="205">
        <v>1.045</v>
      </c>
    </row>
    <row r="10" spans="1:25" s="227" customFormat="1" ht="27" customHeight="1" thickBot="1">
      <c r="A10" s="222"/>
      <c r="B10" s="223"/>
      <c r="C10" s="1787"/>
      <c r="D10" s="996" t="s">
        <v>911</v>
      </c>
      <c r="E10" s="996"/>
      <c r="F10" s="996"/>
      <c r="G10" s="997">
        <f>SUM(G4:G9)</f>
        <v>18</v>
      </c>
      <c r="H10" s="998"/>
      <c r="I10" s="996"/>
      <c r="J10" s="901">
        <f aca="true" t="shared" si="2" ref="J10:V10">SUM(J4:J9)</f>
        <v>1291386.9232</v>
      </c>
      <c r="K10" s="901">
        <f t="shared" si="2"/>
        <v>269384.10653</v>
      </c>
      <c r="L10" s="901">
        <f t="shared" si="2"/>
        <v>224271.61885333332</v>
      </c>
      <c r="M10" s="901">
        <f t="shared" si="2"/>
        <v>34735.68</v>
      </c>
      <c r="N10" s="901">
        <f t="shared" si="2"/>
        <v>4455.360000000001</v>
      </c>
      <c r="O10" s="901">
        <f t="shared" si="2"/>
        <v>42709.89195</v>
      </c>
      <c r="P10" s="901">
        <f t="shared" si="2"/>
        <v>82691.884968</v>
      </c>
      <c r="Q10" s="901">
        <f t="shared" si="2"/>
        <v>35160.88600047359</v>
      </c>
      <c r="R10" s="901">
        <f t="shared" si="2"/>
        <v>261988.5440870892</v>
      </c>
      <c r="S10" s="901">
        <f t="shared" si="2"/>
        <v>129138.69231999999</v>
      </c>
      <c r="T10" s="901">
        <f t="shared" si="2"/>
        <v>968540.1923999998</v>
      </c>
      <c r="U10" s="901">
        <f t="shared" si="2"/>
        <v>0</v>
      </c>
      <c r="V10" s="901">
        <f t="shared" si="2"/>
        <v>3344463.7803088957</v>
      </c>
      <c r="W10" s="902">
        <f>V10/G10/12</f>
        <v>15483.628612541184</v>
      </c>
      <c r="X10" s="225"/>
      <c r="Y10" s="226"/>
    </row>
    <row r="11" spans="1:25" s="227" customFormat="1" ht="16.5" thickBot="1">
      <c r="A11" s="222"/>
      <c r="B11" s="223"/>
      <c r="C11" s="228"/>
      <c r="D11" s="229"/>
      <c r="E11" s="229"/>
      <c r="F11" s="229"/>
      <c r="G11" s="230"/>
      <c r="H11" s="231"/>
      <c r="I11" s="229"/>
      <c r="J11" s="232"/>
      <c r="K11" s="231"/>
      <c r="L11" s="233"/>
      <c r="M11" s="231"/>
      <c r="N11" s="231"/>
      <c r="O11" s="231"/>
      <c r="P11" s="232"/>
      <c r="Q11" s="231"/>
      <c r="R11" s="231"/>
      <c r="S11" s="233"/>
      <c r="T11" s="231"/>
      <c r="U11" s="233"/>
      <c r="V11" s="231"/>
      <c r="W11" s="231"/>
      <c r="X11" s="234"/>
      <c r="Y11" s="226"/>
    </row>
    <row r="12" spans="1:25" s="227" customFormat="1" ht="15.75" hidden="1">
      <c r="A12" s="222"/>
      <c r="B12" s="223"/>
      <c r="C12" s="224"/>
      <c r="D12" s="235"/>
      <c r="E12" s="235"/>
      <c r="F12" s="235"/>
      <c r="G12" s="236"/>
      <c r="H12" s="237"/>
      <c r="I12" s="235"/>
      <c r="J12" s="238">
        <f>J4+J9</f>
        <v>661580.4711999999</v>
      </c>
      <c r="K12" s="238">
        <f>K4+K9</f>
        <v>152614.58597</v>
      </c>
      <c r="L12" s="238">
        <f>L4+L9</f>
        <v>154368.77661333332</v>
      </c>
      <c r="M12" s="238">
        <f>M4+M9</f>
        <v>21396.48</v>
      </c>
      <c r="N12" s="238"/>
      <c r="O12" s="238">
        <f aca="true" t="shared" si="3" ref="O12:V12">O4+O9</f>
        <v>22333.8654</v>
      </c>
      <c r="P12" s="238">
        <f t="shared" si="3"/>
        <v>46310.632983999996</v>
      </c>
      <c r="Q12" s="238">
        <f t="shared" si="3"/>
        <v>35160.88600047359</v>
      </c>
      <c r="R12" s="238">
        <f t="shared" si="3"/>
        <v>140643.54400189436</v>
      </c>
      <c r="S12" s="238">
        <f t="shared" si="3"/>
        <v>66158.04711999999</v>
      </c>
      <c r="T12" s="238">
        <f t="shared" si="3"/>
        <v>496185.35339999996</v>
      </c>
      <c r="U12" s="238">
        <f t="shared" si="3"/>
        <v>0</v>
      </c>
      <c r="V12" s="238">
        <f t="shared" si="3"/>
        <v>1800318.7226897008</v>
      </c>
      <c r="W12" s="238"/>
      <c r="X12" s="225"/>
      <c r="Y12" s="226"/>
    </row>
    <row r="13" spans="1:25" s="227" customFormat="1" ht="15.75" hidden="1">
      <c r="A13" s="222"/>
      <c r="B13" s="223"/>
      <c r="C13" s="224"/>
      <c r="D13" s="239"/>
      <c r="E13" s="239"/>
      <c r="F13" s="239"/>
      <c r="G13" s="240"/>
      <c r="H13" s="241"/>
      <c r="I13" s="239"/>
      <c r="J13" s="242">
        <f>J12/10.85/29.4*35</f>
        <v>72589.47456660082</v>
      </c>
      <c r="K13" s="242">
        <f>K12/10.85/29.4*35</f>
        <v>16745.071973886326</v>
      </c>
      <c r="L13" s="242">
        <f>L12/10.85/29.4*35</f>
        <v>16937.544065540194</v>
      </c>
      <c r="M13" s="242">
        <f>M12/10.85/29.4*35</f>
        <v>2347.6497695852536</v>
      </c>
      <c r="N13" s="242"/>
      <c r="O13" s="242"/>
      <c r="P13" s="242">
        <f>P12/10.85/29.4*35</f>
        <v>5081.263219662058</v>
      </c>
      <c r="Q13" s="242"/>
      <c r="R13" s="242"/>
      <c r="S13" s="242">
        <f>S12/10.85/29.4*35</f>
        <v>7258.947456660082</v>
      </c>
      <c r="T13" s="242">
        <f>T12/10.85/29.4*35</f>
        <v>54442.10592495063</v>
      </c>
      <c r="U13" s="242">
        <f>U12/10.85/29.4*35</f>
        <v>0</v>
      </c>
      <c r="V13" s="242">
        <f>V12/10.85/29.4*35</f>
        <v>197533.3248507462</v>
      </c>
      <c r="W13" s="242"/>
      <c r="X13" s="225"/>
      <c r="Y13" s="226"/>
    </row>
    <row r="14" spans="1:25" s="227" customFormat="1" ht="15.75" hidden="1">
      <c r="A14" s="222"/>
      <c r="B14" s="223"/>
      <c r="C14" s="224"/>
      <c r="D14" s="239"/>
      <c r="E14" s="239"/>
      <c r="F14" s="239"/>
      <c r="G14" s="240"/>
      <c r="H14" s="241"/>
      <c r="I14" s="239"/>
      <c r="J14" s="242">
        <f>J5+J8</f>
        <v>409657.8904</v>
      </c>
      <c r="K14" s="242">
        <f>K5+K8</f>
        <v>87875.02184999999</v>
      </c>
      <c r="L14" s="242">
        <f>L5+L8</f>
        <v>69902.84224</v>
      </c>
      <c r="M14" s="242">
        <f>M5+M8</f>
        <v>13339.2</v>
      </c>
      <c r="N14" s="242"/>
      <c r="O14" s="242">
        <f aca="true" t="shared" si="4" ref="O14:V14">O5+O8</f>
        <v>20376.02655</v>
      </c>
      <c r="P14" s="242">
        <f t="shared" si="4"/>
        <v>20970.852671999997</v>
      </c>
      <c r="Q14" s="242">
        <f t="shared" si="4"/>
        <v>0</v>
      </c>
      <c r="R14" s="242">
        <f t="shared" si="4"/>
        <v>82247.18735948052</v>
      </c>
      <c r="S14" s="242">
        <f t="shared" si="4"/>
        <v>40965.78904</v>
      </c>
      <c r="T14" s="242">
        <f t="shared" si="4"/>
        <v>307243.4178</v>
      </c>
      <c r="U14" s="242">
        <f t="shared" si="4"/>
        <v>0</v>
      </c>
      <c r="V14" s="242">
        <f t="shared" si="4"/>
        <v>1053467.5079114805</v>
      </c>
      <c r="W14" s="242"/>
      <c r="X14" s="225"/>
      <c r="Y14" s="226"/>
    </row>
    <row r="15" spans="1:25" s="227" customFormat="1" ht="15.75" hidden="1">
      <c r="A15" s="222"/>
      <c r="B15" s="223"/>
      <c r="C15" s="224"/>
      <c r="D15" s="239"/>
      <c r="E15" s="239"/>
      <c r="F15" s="239"/>
      <c r="G15" s="240"/>
      <c r="H15" s="241"/>
      <c r="I15" s="239"/>
      <c r="J15" s="242">
        <f>J14/11/29.4*28</f>
        <v>35468.21561904762</v>
      </c>
      <c r="K15" s="242">
        <f>K14/11/29.4*28</f>
        <v>7608.226999999999</v>
      </c>
      <c r="L15" s="242">
        <f>L14/11/29.4*28</f>
        <v>6052.194133333333</v>
      </c>
      <c r="M15" s="242">
        <f>M14/11/29.4*28</f>
        <v>1154.909090909091</v>
      </c>
      <c r="N15" s="242"/>
      <c r="O15" s="242"/>
      <c r="P15" s="242">
        <f>P14/11/29.4*28</f>
        <v>1815.6582399999998</v>
      </c>
      <c r="Q15" s="242">
        <f>Q14/11/29.4*28</f>
        <v>0</v>
      </c>
      <c r="R15" s="242"/>
      <c r="S15" s="242">
        <f>S14/11/29.4*28</f>
        <v>3546.8215619047623</v>
      </c>
      <c r="T15" s="242">
        <f>T14/11/29.4*28</f>
        <v>26601.161714285714</v>
      </c>
      <c r="U15" s="242">
        <f>U14/11/29.4*28</f>
        <v>0</v>
      </c>
      <c r="V15" s="202">
        <f>SUM(J15:U15)</f>
        <v>82247.18735948051</v>
      </c>
      <c r="W15" s="242"/>
      <c r="X15" s="225"/>
      <c r="Y15" s="226"/>
    </row>
    <row r="16" spans="1:25" s="227" customFormat="1" ht="15.75" hidden="1">
      <c r="A16" s="222"/>
      <c r="B16" s="223"/>
      <c r="C16" s="224"/>
      <c r="D16" s="239"/>
      <c r="E16" s="239"/>
      <c r="F16" s="239"/>
      <c r="G16" s="240"/>
      <c r="H16" s="241"/>
      <c r="I16" s="239"/>
      <c r="J16" s="242">
        <f>J15+J13+J10</f>
        <v>1399444.6133856485</v>
      </c>
      <c r="K16" s="242">
        <f>K15+K13+K10</f>
        <v>293737.4055038863</v>
      </c>
      <c r="L16" s="242">
        <f>L15+L13+L10</f>
        <v>247261.35705220685</v>
      </c>
      <c r="M16" s="242">
        <f>M15+M13+M10</f>
        <v>38238.23886049435</v>
      </c>
      <c r="N16" s="242"/>
      <c r="O16" s="242">
        <f>O15+O13+O10</f>
        <v>42709.89195</v>
      </c>
      <c r="P16" s="242">
        <f>P15+P13+P10</f>
        <v>89588.80642766206</v>
      </c>
      <c r="Q16" s="242"/>
      <c r="R16" s="242"/>
      <c r="S16" s="242">
        <f>S15+S13+S10</f>
        <v>139944.46133856484</v>
      </c>
      <c r="T16" s="242">
        <f>T15+T13+T10</f>
        <v>1049583.4600392361</v>
      </c>
      <c r="U16" s="242">
        <f>U15+U13+U10</f>
        <v>0</v>
      </c>
      <c r="V16" s="202">
        <f>SUM(J16:U16)</f>
        <v>3300508.234557699</v>
      </c>
      <c r="W16" s="242"/>
      <c r="X16" s="225"/>
      <c r="Y16" s="226"/>
    </row>
    <row r="17" spans="1:25" s="227" customFormat="1" ht="15.75" hidden="1">
      <c r="A17" s="222"/>
      <c r="B17" s="223"/>
      <c r="C17" s="243"/>
      <c r="D17" s="244"/>
      <c r="E17" s="244"/>
      <c r="F17" s="244"/>
      <c r="G17" s="245"/>
      <c r="H17" s="246"/>
      <c r="I17" s="244"/>
      <c r="J17" s="247">
        <f>J16/4121/12/G10</f>
        <v>1.5721694363396699</v>
      </c>
      <c r="K17" s="247">
        <f>(K16+L16+M16+O16+P16)/J16</f>
        <v>0.5084414867072483</v>
      </c>
      <c r="L17" s="247"/>
      <c r="M17" s="247"/>
      <c r="N17" s="247"/>
      <c r="O17" s="247"/>
      <c r="P17" s="247"/>
      <c r="Q17" s="247"/>
      <c r="R17" s="247"/>
      <c r="S17" s="247">
        <f>S16/J16</f>
        <v>0.09999999999999999</v>
      </c>
      <c r="T17" s="247">
        <f>T16/J16</f>
        <v>0.7499999999999999</v>
      </c>
      <c r="U17" s="247">
        <f>U16/J16</f>
        <v>0</v>
      </c>
      <c r="V17" s="220"/>
      <c r="W17" s="247"/>
      <c r="X17" s="225"/>
      <c r="Y17" s="226"/>
    </row>
    <row r="18" spans="1:24" ht="141.75" customHeight="1">
      <c r="A18" s="211"/>
      <c r="B18" s="212"/>
      <c r="C18" s="1785" t="s">
        <v>912</v>
      </c>
      <c r="D18" s="894" t="s">
        <v>190</v>
      </c>
      <c r="E18" s="895" t="s">
        <v>191</v>
      </c>
      <c r="F18" s="895" t="s">
        <v>192</v>
      </c>
      <c r="G18" s="894" t="s">
        <v>193</v>
      </c>
      <c r="H18" s="894" t="s">
        <v>194</v>
      </c>
      <c r="I18" s="894" t="s">
        <v>1261</v>
      </c>
      <c r="J18" s="894" t="s">
        <v>940</v>
      </c>
      <c r="K18" s="894" t="s">
        <v>1263</v>
      </c>
      <c r="L18" s="894" t="s">
        <v>1264</v>
      </c>
      <c r="M18" s="894" t="s">
        <v>913</v>
      </c>
      <c r="N18" s="894" t="s">
        <v>1265</v>
      </c>
      <c r="O18" s="894" t="s">
        <v>293</v>
      </c>
      <c r="P18" s="894" t="s">
        <v>1266</v>
      </c>
      <c r="Q18" s="894" t="s">
        <v>897</v>
      </c>
      <c r="R18" s="894" t="s">
        <v>898</v>
      </c>
      <c r="S18" s="894" t="s">
        <v>899</v>
      </c>
      <c r="T18" s="894" t="s">
        <v>900</v>
      </c>
      <c r="U18" s="895" t="s">
        <v>901</v>
      </c>
      <c r="V18" s="896" t="s">
        <v>902</v>
      </c>
      <c r="W18" s="897" t="s">
        <v>152</v>
      </c>
      <c r="X18" s="187"/>
    </row>
    <row r="19" spans="1:25" s="250" customFormat="1" ht="15.75">
      <c r="A19" s="248"/>
      <c r="B19" s="249"/>
      <c r="C19" s="1786"/>
      <c r="D19" s="884" t="s">
        <v>914</v>
      </c>
      <c r="E19" s="374"/>
      <c r="F19" s="374">
        <v>4936</v>
      </c>
      <c r="G19" s="375"/>
      <c r="H19" s="374"/>
      <c r="I19" s="374"/>
      <c r="J19" s="376"/>
      <c r="K19" s="376"/>
      <c r="L19" s="376"/>
      <c r="M19" s="379"/>
      <c r="N19" s="379"/>
      <c r="O19" s="379"/>
      <c r="P19" s="376"/>
      <c r="Q19" s="376"/>
      <c r="R19" s="376"/>
      <c r="S19" s="376"/>
      <c r="T19" s="376"/>
      <c r="U19" s="376"/>
      <c r="V19" s="381"/>
      <c r="W19" s="898"/>
      <c r="X19" s="187"/>
      <c r="Y19" s="205">
        <v>1.045</v>
      </c>
    </row>
    <row r="20" spans="1:25" ht="21" customHeight="1">
      <c r="A20" s="211"/>
      <c r="B20" s="212"/>
      <c r="C20" s="1786"/>
      <c r="D20" s="886" t="s">
        <v>915</v>
      </c>
      <c r="E20" s="374">
        <v>3</v>
      </c>
      <c r="F20" s="374">
        <v>1.32</v>
      </c>
      <c r="G20" s="375">
        <v>4</v>
      </c>
      <c r="H20" s="376">
        <f>F19*F20</f>
        <v>6515.52</v>
      </c>
      <c r="I20" s="887">
        <v>11</v>
      </c>
      <c r="J20" s="376">
        <f>I20*H20*G20</f>
        <v>286682.88</v>
      </c>
      <c r="K20" s="376"/>
      <c r="L20" s="378">
        <f>J20/3*0.4*1.75</f>
        <v>66892.672</v>
      </c>
      <c r="M20" s="380">
        <f>39.7*24*14</f>
        <v>13339.2</v>
      </c>
      <c r="N20" s="380">
        <f>39.7*8*20%*(4-3)*14</f>
        <v>889.2800000000002</v>
      </c>
      <c r="O20" s="380">
        <f>14*11*46.26*0.5*4*Y20</f>
        <v>14889.2436</v>
      </c>
      <c r="P20" s="380">
        <f>J20*0.04*1.75</f>
        <v>20067.801600000003</v>
      </c>
      <c r="Q20" s="380">
        <f>R20/28*14</f>
        <v>24274.613296265878</v>
      </c>
      <c r="R20" s="380">
        <f>(J20+K20+L20+M20+P20+S20+T20+U20+N20)/(323*14/365)/29.4*28</f>
        <v>48549.226592531755</v>
      </c>
      <c r="S20" s="380">
        <f>J20*0.1</f>
        <v>28668.288</v>
      </c>
      <c r="T20" s="376">
        <f>J20*0.75</f>
        <v>215012.16</v>
      </c>
      <c r="U20" s="376">
        <v>0</v>
      </c>
      <c r="V20" s="381">
        <f>SUM(J20:U20)</f>
        <v>719265.3650887978</v>
      </c>
      <c r="W20" s="899">
        <f>V20/G20/12</f>
        <v>14984.69510601662</v>
      </c>
      <c r="X20" s="187"/>
      <c r="Y20" s="205">
        <v>1.045</v>
      </c>
    </row>
    <row r="21" spans="1:25" ht="19.5" customHeight="1">
      <c r="A21" s="211"/>
      <c r="B21" s="212"/>
      <c r="C21" s="1786"/>
      <c r="D21" s="886" t="s">
        <v>916</v>
      </c>
      <c r="E21" s="374">
        <v>3</v>
      </c>
      <c r="F21" s="374">
        <v>1.25</v>
      </c>
      <c r="G21" s="375">
        <v>8</v>
      </c>
      <c r="H21" s="376">
        <f>F$3*F21*Y21</f>
        <v>6447.65</v>
      </c>
      <c r="I21" s="887">
        <v>11</v>
      </c>
      <c r="J21" s="376">
        <f>I21*H21*G21</f>
        <v>567393.2</v>
      </c>
      <c r="K21" s="376"/>
      <c r="L21" s="378">
        <f>J21/3*0.4*1.75</f>
        <v>132391.74666666667</v>
      </c>
      <c r="M21" s="380">
        <f>37.56*24*3*14</f>
        <v>37860.48</v>
      </c>
      <c r="N21" s="380">
        <f>37.56*8*20%*3*14</f>
        <v>2524.032</v>
      </c>
      <c r="O21" s="380">
        <f>14*11*46.26*0.5*9*Y21</f>
        <v>33500.7981</v>
      </c>
      <c r="P21" s="380">
        <f>J21*0.04*1.75</f>
        <v>39717.524</v>
      </c>
      <c r="Q21" s="380">
        <f>R21/28*14</f>
        <v>48513.35154833863</v>
      </c>
      <c r="R21" s="380">
        <f>(J21+K21+L21+M21+P21+S21+T21+U21+N21)/(323*14/365)/29.4*28</f>
        <v>97026.70309667726</v>
      </c>
      <c r="S21" s="380">
        <f>J21*0.1</f>
        <v>56739.32</v>
      </c>
      <c r="T21" s="376">
        <f>J21*0.75</f>
        <v>425544.89999999997</v>
      </c>
      <c r="U21" s="376">
        <v>0</v>
      </c>
      <c r="V21" s="381">
        <f>SUM(J21:U21)</f>
        <v>1441212.0554116825</v>
      </c>
      <c r="W21" s="899">
        <f>V21/G21/12</f>
        <v>15012.625577205026</v>
      </c>
      <c r="X21" s="187"/>
      <c r="Y21" s="205">
        <v>1.045</v>
      </c>
    </row>
    <row r="22" spans="1:25" ht="16.5" customHeight="1">
      <c r="A22" s="211"/>
      <c r="B22" s="212"/>
      <c r="C22" s="1786"/>
      <c r="D22" s="373" t="s">
        <v>917</v>
      </c>
      <c r="E22" s="374">
        <v>4</v>
      </c>
      <c r="F22" s="374">
        <v>1.74</v>
      </c>
      <c r="G22" s="375">
        <v>1</v>
      </c>
      <c r="H22" s="376">
        <f>F$3*F22*Y22</f>
        <v>8975.128799999999</v>
      </c>
      <c r="I22" s="887">
        <v>11</v>
      </c>
      <c r="J22" s="376">
        <f>I22*H22*G22</f>
        <v>98726.41679999998</v>
      </c>
      <c r="K22" s="376">
        <f>J22*0.15*1.75</f>
        <v>25915.68440999999</v>
      </c>
      <c r="L22" s="376"/>
      <c r="M22" s="380"/>
      <c r="N22" s="380"/>
      <c r="O22" s="380"/>
      <c r="P22" s="380">
        <f>J22*0.04*1.75</f>
        <v>6910.849175999999</v>
      </c>
      <c r="Q22" s="380"/>
      <c r="R22" s="380">
        <f>(J22+K22+L22+M22+P22+S22+T22+U22)/11/29.4*28</f>
        <v>18655.44629142857</v>
      </c>
      <c r="S22" s="380">
        <f>J22*0.1</f>
        <v>9872.641679999999</v>
      </c>
      <c r="T22" s="376">
        <f>J22*0.75</f>
        <v>74044.81259999998</v>
      </c>
      <c r="U22" s="376">
        <v>0</v>
      </c>
      <c r="V22" s="381">
        <f>SUM(J22:U22)</f>
        <v>234125.85095742848</v>
      </c>
      <c r="W22" s="899">
        <f>V22/G22/12</f>
        <v>19510.487579785706</v>
      </c>
      <c r="X22" s="187"/>
      <c r="Y22" s="205">
        <v>1.045</v>
      </c>
    </row>
    <row r="23" spans="1:25" ht="15.75">
      <c r="A23" s="211"/>
      <c r="B23" s="212"/>
      <c r="C23" s="1786"/>
      <c r="D23" s="373" t="s">
        <v>917</v>
      </c>
      <c r="E23" s="374">
        <v>5</v>
      </c>
      <c r="F23" s="374">
        <v>1.94</v>
      </c>
      <c r="G23" s="375">
        <v>1</v>
      </c>
      <c r="H23" s="376">
        <f>F$3*F23*Y23</f>
        <v>10006.7528</v>
      </c>
      <c r="I23" s="887">
        <v>11</v>
      </c>
      <c r="J23" s="376">
        <f>I23*H23*G23</f>
        <v>110074.28080000001</v>
      </c>
      <c r="K23" s="376">
        <f>J23*0.15*1.75</f>
        <v>28894.49871</v>
      </c>
      <c r="L23" s="376"/>
      <c r="M23" s="380"/>
      <c r="N23" s="380"/>
      <c r="O23" s="380"/>
      <c r="P23" s="380">
        <f>J23*0.04*1.75</f>
        <v>7705.199656000002</v>
      </c>
      <c r="Q23" s="380"/>
      <c r="R23" s="380">
        <f>(J23+K23+L23+M23+P23+S23+T23+U23)/11/29.4*28</f>
        <v>20799.75046285715</v>
      </c>
      <c r="S23" s="380">
        <f>J23*0.1</f>
        <v>11007.428080000002</v>
      </c>
      <c r="T23" s="376">
        <f>J23*0.75</f>
        <v>82555.7106</v>
      </c>
      <c r="U23" s="376">
        <v>0</v>
      </c>
      <c r="V23" s="381">
        <f>SUM(J23:U23)</f>
        <v>261036.8683088572</v>
      </c>
      <c r="W23" s="899">
        <f>V23/G23/12</f>
        <v>21753.072359071433</v>
      </c>
      <c r="X23" s="187"/>
      <c r="Y23" s="205">
        <v>1.045</v>
      </c>
    </row>
    <row r="24" spans="1:25" ht="15.75">
      <c r="A24" s="211"/>
      <c r="B24" s="212"/>
      <c r="C24" s="1786"/>
      <c r="D24" s="889" t="s">
        <v>918</v>
      </c>
      <c r="E24" s="374"/>
      <c r="F24" s="374"/>
      <c r="G24" s="375"/>
      <c r="H24" s="376"/>
      <c r="I24" s="887"/>
      <c r="J24" s="376"/>
      <c r="K24" s="376"/>
      <c r="L24" s="376"/>
      <c r="M24" s="380"/>
      <c r="N24" s="380"/>
      <c r="O24" s="380"/>
      <c r="P24" s="380"/>
      <c r="Q24" s="380"/>
      <c r="R24" s="380"/>
      <c r="S24" s="380"/>
      <c r="T24" s="376"/>
      <c r="U24" s="376"/>
      <c r="V24" s="381"/>
      <c r="W24" s="899"/>
      <c r="X24" s="187"/>
      <c r="Y24" s="205">
        <v>1.045</v>
      </c>
    </row>
    <row r="25" spans="1:25" ht="19.5" customHeight="1">
      <c r="A25" s="211"/>
      <c r="B25" s="212"/>
      <c r="C25" s="1786"/>
      <c r="D25" s="890" t="s">
        <v>919</v>
      </c>
      <c r="E25" s="374">
        <v>3</v>
      </c>
      <c r="F25" s="374">
        <v>1.25</v>
      </c>
      <c r="G25" s="375">
        <v>4</v>
      </c>
      <c r="H25" s="376">
        <f>F$3*F25*Y25</f>
        <v>6447.65</v>
      </c>
      <c r="I25" s="887">
        <v>11</v>
      </c>
      <c r="J25" s="376">
        <f>I25*H25*G25</f>
        <v>283696.6</v>
      </c>
      <c r="K25" s="376"/>
      <c r="L25" s="378">
        <f>J25/3*0.4*1.75</f>
        <v>66195.87333333334</v>
      </c>
      <c r="M25" s="380">
        <f>37.56*24*14</f>
        <v>12620.16</v>
      </c>
      <c r="N25" s="380">
        <f>37.56*8*20%*(4-3)*14</f>
        <v>841.344</v>
      </c>
      <c r="O25" s="380"/>
      <c r="P25" s="380"/>
      <c r="Q25" s="380"/>
      <c r="R25" s="380">
        <f>(J25+K25+L25+M25+P25+S25+T25+U25)/11/29.4*28</f>
        <v>52264.47994227994</v>
      </c>
      <c r="S25" s="380">
        <f>J25*0.1</f>
        <v>28369.66</v>
      </c>
      <c r="T25" s="376">
        <f>J25*0.75</f>
        <v>212772.44999999998</v>
      </c>
      <c r="U25" s="376">
        <v>0</v>
      </c>
      <c r="V25" s="381">
        <f>SUM(J25:U25)</f>
        <v>656760.5672756132</v>
      </c>
      <c r="W25" s="899">
        <f>V25/G25/12</f>
        <v>13682.511818241941</v>
      </c>
      <c r="X25" s="204"/>
      <c r="Y25" s="205">
        <v>1.045</v>
      </c>
    </row>
    <row r="26" spans="1:25" s="250" customFormat="1" ht="14.25" customHeight="1">
      <c r="A26" s="248"/>
      <c r="B26" s="249"/>
      <c r="C26" s="1786"/>
      <c r="D26" s="891" t="s">
        <v>920</v>
      </c>
      <c r="E26" s="374">
        <v>3</v>
      </c>
      <c r="F26" s="374">
        <v>1.25</v>
      </c>
      <c r="G26" s="375">
        <v>1</v>
      </c>
      <c r="H26" s="376">
        <f>F$3*F26*Y26</f>
        <v>6447.65</v>
      </c>
      <c r="I26" s="887">
        <v>11</v>
      </c>
      <c r="J26" s="376">
        <f>I26*H26*G26</f>
        <v>70924.15</v>
      </c>
      <c r="K26" s="892">
        <f>J26*0.15*1.75</f>
        <v>18617.589375</v>
      </c>
      <c r="L26" s="376"/>
      <c r="M26" s="380">
        <f>37.56*8*14</f>
        <v>4206.72</v>
      </c>
      <c r="N26" s="380"/>
      <c r="O26" s="380">
        <f>219*46.26*0.5*1*Y26</f>
        <v>5293.416149999999</v>
      </c>
      <c r="P26" s="380">
        <f>J26*0.08*1.75</f>
        <v>9929.381</v>
      </c>
      <c r="Q26" s="380">
        <f>R26/28*14</f>
        <v>7352.527062063859</v>
      </c>
      <c r="R26" s="380">
        <f>(J26+K26+L26+M26+P26+S26+T26+U26+N26)/(323*12/365)/29.4*28</f>
        <v>14705.054124127719</v>
      </c>
      <c r="S26" s="380">
        <f>J26*0.1</f>
        <v>7092.415</v>
      </c>
      <c r="T26" s="376">
        <f>J26*0.75</f>
        <v>53193.112499999996</v>
      </c>
      <c r="U26" s="376">
        <v>0</v>
      </c>
      <c r="V26" s="381">
        <f>SUM(J26:U26)</f>
        <v>191314.36521119156</v>
      </c>
      <c r="W26" s="899">
        <f>V26/G26/12</f>
        <v>15942.863767599296</v>
      </c>
      <c r="X26" s="204"/>
      <c r="Y26" s="205">
        <v>1.045</v>
      </c>
    </row>
    <row r="27" spans="1:25" s="250" customFormat="1" ht="15.75">
      <c r="A27" s="248"/>
      <c r="B27" s="249"/>
      <c r="C27" s="1786"/>
      <c r="D27" s="886" t="s">
        <v>921</v>
      </c>
      <c r="E27" s="374">
        <v>1</v>
      </c>
      <c r="F27" s="374">
        <v>1</v>
      </c>
      <c r="G27" s="375">
        <v>3</v>
      </c>
      <c r="H27" s="376">
        <f>F$3*F27*Y27</f>
        <v>5158.12</v>
      </c>
      <c r="I27" s="887">
        <v>11</v>
      </c>
      <c r="J27" s="376">
        <f>I27*H27*G27</f>
        <v>170217.96</v>
      </c>
      <c r="K27" s="892">
        <f>J27/G27*0.15*1.75</f>
        <v>14894.071499999998</v>
      </c>
      <c r="L27" s="378"/>
      <c r="M27" s="380"/>
      <c r="N27" s="380"/>
      <c r="O27" s="380">
        <f>219*46.26*0.5*1*Y27</f>
        <v>5293.416149999999</v>
      </c>
      <c r="P27" s="380">
        <f>J27*0.08*1.75</f>
        <v>23830.5144</v>
      </c>
      <c r="Q27" s="380">
        <f>R27/28*14</f>
        <v>15857.554590336136</v>
      </c>
      <c r="R27" s="380">
        <f>(J27+K27+L27+M27+P27+S27+T27+U27+N27)/(323*12/365)/29.4*28</f>
        <v>31715.109180672272</v>
      </c>
      <c r="S27" s="380">
        <f>J27*0.1</f>
        <v>17021.796</v>
      </c>
      <c r="T27" s="376">
        <f>J27*0.75</f>
        <v>127663.47</v>
      </c>
      <c r="U27" s="376">
        <v>0</v>
      </c>
      <c r="V27" s="381">
        <f>SUM(J27:U27)</f>
        <v>406493.8918210084</v>
      </c>
      <c r="W27" s="899">
        <f>V27/G27/12</f>
        <v>11291.496995028012</v>
      </c>
      <c r="X27" s="204"/>
      <c r="Y27" s="205">
        <v>1.045</v>
      </c>
    </row>
    <row r="28" spans="1:25" s="250" customFormat="1" ht="15.75">
      <c r="A28" s="248"/>
      <c r="B28" s="249"/>
      <c r="C28" s="1786"/>
      <c r="D28" s="884"/>
      <c r="E28" s="374"/>
      <c r="F28" s="374"/>
      <c r="G28" s="375"/>
      <c r="H28" s="893"/>
      <c r="I28" s="376"/>
      <c r="J28" s="376"/>
      <c r="K28" s="376"/>
      <c r="L28" s="378"/>
      <c r="M28" s="380"/>
      <c r="N28" s="380"/>
      <c r="O28" s="380"/>
      <c r="P28" s="380"/>
      <c r="Q28" s="380"/>
      <c r="R28" s="380">
        <f>(J28+K28+L28+M28+P28+S28+T28+U28)/10.85/29.4*28</f>
        <v>0</v>
      </c>
      <c r="S28" s="380"/>
      <c r="T28" s="376">
        <f>J28*0.75</f>
        <v>0</v>
      </c>
      <c r="U28" s="376"/>
      <c r="V28" s="381"/>
      <c r="W28" s="899"/>
      <c r="X28" s="204"/>
      <c r="Y28" s="205">
        <v>1.045</v>
      </c>
    </row>
    <row r="29" spans="1:25" s="250" customFormat="1" ht="31.5" hidden="1">
      <c r="A29" s="248"/>
      <c r="B29" s="249"/>
      <c r="C29" s="1786"/>
      <c r="D29" s="886" t="s">
        <v>922</v>
      </c>
      <c r="E29" s="374">
        <v>4</v>
      </c>
      <c r="F29" s="374">
        <v>1.56</v>
      </c>
      <c r="G29" s="888"/>
      <c r="H29" s="893"/>
      <c r="I29" s="887">
        <f>(247-((28-8)))*8*G29</f>
        <v>0</v>
      </c>
      <c r="J29" s="376">
        <f>I29*H29</f>
        <v>0</v>
      </c>
      <c r="K29" s="376"/>
      <c r="L29" s="376"/>
      <c r="M29" s="376"/>
      <c r="N29" s="376"/>
      <c r="O29" s="380"/>
      <c r="P29" s="376">
        <f>J29*0.08*1.75</f>
        <v>0</v>
      </c>
      <c r="Q29" s="379"/>
      <c r="R29" s="380">
        <f>(J29+K29+L29+M29+P29+S29+T29+U29+N29)/(337*12/365)/29.4*28</f>
        <v>0</v>
      </c>
      <c r="S29" s="380">
        <f>J29*0.1</f>
        <v>0</v>
      </c>
      <c r="T29" s="376">
        <f>J29*0.75</f>
        <v>0</v>
      </c>
      <c r="U29" s="376">
        <f>(L29+M29+P29+T29+J29+K29+S29+N29)*0.108</f>
        <v>0</v>
      </c>
      <c r="V29" s="381"/>
      <c r="W29" s="899" t="e">
        <f>V29/G29/12</f>
        <v>#DIV/0!</v>
      </c>
      <c r="X29" s="204"/>
      <c r="Y29" s="205">
        <v>1.048</v>
      </c>
    </row>
    <row r="30" spans="1:24" s="256" customFormat="1" ht="30" customHeight="1" thickBot="1">
      <c r="A30" s="252"/>
      <c r="B30" s="253"/>
      <c r="C30" s="1787"/>
      <c r="D30" s="900" t="s">
        <v>911</v>
      </c>
      <c r="E30" s="900"/>
      <c r="F30" s="900"/>
      <c r="G30" s="900">
        <f>SUM(G20:G29)</f>
        <v>22</v>
      </c>
      <c r="H30" s="900"/>
      <c r="I30" s="900"/>
      <c r="J30" s="901">
        <f>J29+J27+J26+J25+J23+J22+J21+J20</f>
        <v>1587715.4876</v>
      </c>
      <c r="K30" s="901">
        <f aca="true" t="shared" si="5" ref="K30:V30">SUM(K20:K29)</f>
        <v>88321.84399499997</v>
      </c>
      <c r="L30" s="901">
        <f t="shared" si="5"/>
        <v>265480.292</v>
      </c>
      <c r="M30" s="901">
        <f t="shared" si="5"/>
        <v>68026.56000000001</v>
      </c>
      <c r="N30" s="901">
        <f t="shared" si="5"/>
        <v>4254.656000000001</v>
      </c>
      <c r="O30" s="901">
        <f t="shared" si="5"/>
        <v>58976.873999999996</v>
      </c>
      <c r="P30" s="901">
        <f t="shared" si="5"/>
        <v>108161.26983199999</v>
      </c>
      <c r="Q30" s="901">
        <f t="shared" si="5"/>
        <v>95998.0464970045</v>
      </c>
      <c r="R30" s="901">
        <f t="shared" si="5"/>
        <v>283715.76969057467</v>
      </c>
      <c r="S30" s="901">
        <f t="shared" si="5"/>
        <v>158771.54876</v>
      </c>
      <c r="T30" s="901">
        <f t="shared" si="5"/>
        <v>1190786.6156999997</v>
      </c>
      <c r="U30" s="901">
        <f t="shared" si="5"/>
        <v>0</v>
      </c>
      <c r="V30" s="901">
        <f t="shared" si="5"/>
        <v>3910208.964074579</v>
      </c>
      <c r="W30" s="902">
        <f>V30/G30/12</f>
        <v>14811.397591191586</v>
      </c>
      <c r="X30" s="255"/>
    </row>
    <row r="31" spans="4:21" ht="15.75">
      <c r="D31" s="229"/>
      <c r="H31" s="258"/>
      <c r="K31" s="259"/>
      <c r="L31" s="259"/>
      <c r="P31" s="259"/>
      <c r="S31" s="906">
        <f>S30/J30</f>
        <v>0.09999999999999999</v>
      </c>
      <c r="T31" s="906"/>
      <c r="U31" s="906">
        <f>U30/J30</f>
        <v>0</v>
      </c>
    </row>
    <row r="32" spans="4:21" ht="16.5" thickBot="1">
      <c r="D32" s="410" t="s">
        <v>661</v>
      </c>
      <c r="E32" s="263"/>
      <c r="F32" s="263"/>
      <c r="G32" s="264"/>
      <c r="H32" s="265"/>
      <c r="I32" s="260"/>
      <c r="J32" s="260"/>
      <c r="K32" s="260"/>
      <c r="L32" s="260"/>
      <c r="M32" s="260"/>
      <c r="N32" s="260"/>
      <c r="S32" s="906"/>
      <c r="T32" s="906"/>
      <c r="U32" s="906"/>
    </row>
    <row r="33" spans="4:22" ht="97.5" customHeight="1">
      <c r="D33" s="1797"/>
      <c r="E33" s="1798"/>
      <c r="F33" s="1798"/>
      <c r="G33" s="894" t="s">
        <v>924</v>
      </c>
      <c r="H33" s="894" t="s">
        <v>925</v>
      </c>
      <c r="I33" s="897" t="s">
        <v>789</v>
      </c>
      <c r="J33" s="260"/>
      <c r="K33" s="260"/>
      <c r="M33" s="260"/>
      <c r="N33" s="260"/>
      <c r="O33" s="266"/>
      <c r="P33" s="266" t="s">
        <v>1285</v>
      </c>
      <c r="Q33" s="267"/>
      <c r="R33" s="396"/>
      <c r="S33" s="397"/>
      <c r="T33" s="397"/>
      <c r="U33" s="397"/>
      <c r="V33" s="398"/>
    </row>
    <row r="34" spans="4:22" ht="15.75">
      <c r="D34" s="1788" t="s">
        <v>1258</v>
      </c>
      <c r="E34" s="1789"/>
      <c r="F34" s="1789"/>
      <c r="G34" s="1130">
        <f>V10</f>
        <v>3344463.7803088957</v>
      </c>
      <c r="H34" s="1131">
        <f>G34/G37</f>
        <v>0.461008221618013</v>
      </c>
      <c r="I34" s="1134">
        <f>G34/(G34+G35+G36)</f>
        <v>0.4467800670970739</v>
      </c>
      <c r="J34" s="260"/>
      <c r="K34" s="260"/>
      <c r="M34" s="260"/>
      <c r="N34" s="260"/>
      <c r="O34" s="267"/>
      <c r="P34" s="268"/>
      <c r="Q34" s="267"/>
      <c r="U34" s="250"/>
      <c r="V34" s="188"/>
    </row>
    <row r="35" spans="4:17" ht="15.75">
      <c r="D35" s="1788" t="s">
        <v>1259</v>
      </c>
      <c r="E35" s="1789"/>
      <c r="F35" s="1789"/>
      <c r="G35" s="1130">
        <f>V30</f>
        <v>3910208.964074579</v>
      </c>
      <c r="H35" s="1131">
        <f>G35/G37</f>
        <v>0.538991778381987</v>
      </c>
      <c r="I35" s="1134">
        <f>G35/(G34+G35+G36)</f>
        <v>0.5223568075751344</v>
      </c>
      <c r="J35" s="400"/>
      <c r="K35" s="260"/>
      <c r="M35" s="260"/>
      <c r="N35" s="260"/>
      <c r="O35" s="267"/>
      <c r="P35" s="268"/>
      <c r="Q35" s="267"/>
    </row>
    <row r="36" spans="4:16" ht="15.75">
      <c r="D36" s="1799" t="s">
        <v>660</v>
      </c>
      <c r="E36" s="1800"/>
      <c r="F36" s="1800"/>
      <c r="G36" s="1132">
        <f>'ФОТ цеховые'!V76</f>
        <v>231032.2514533894</v>
      </c>
      <c r="H36" s="1133"/>
      <c r="I36" s="1135">
        <f>G36/(G36+G35+G34)</f>
        <v>0.030863125327791677</v>
      </c>
      <c r="J36" s="260"/>
      <c r="K36" s="260"/>
      <c r="M36" s="260"/>
      <c r="N36" s="260"/>
      <c r="O36" s="267"/>
      <c r="P36" s="268"/>
    </row>
    <row r="37" spans="4:16" ht="21.75" customHeight="1" thickBot="1">
      <c r="D37" s="1795"/>
      <c r="E37" s="1796"/>
      <c r="F37" s="1796"/>
      <c r="G37" s="1136">
        <f>G35+G34</f>
        <v>7254672.744383475</v>
      </c>
      <c r="H37" s="1137">
        <f>H35+H34</f>
        <v>1</v>
      </c>
      <c r="I37" s="1138">
        <f>I36+I35+I34</f>
        <v>1</v>
      </c>
      <c r="J37" s="260"/>
      <c r="K37" s="260"/>
      <c r="M37" s="260"/>
      <c r="N37" s="260"/>
      <c r="O37" s="269"/>
      <c r="P37" s="270"/>
    </row>
    <row r="38" spans="4:23" ht="76.5" customHeight="1">
      <c r="D38" s="1803"/>
      <c r="E38" s="1803"/>
      <c r="F38" s="1803"/>
      <c r="G38" s="1803"/>
      <c r="H38" s="1803"/>
      <c r="I38" s="1803"/>
      <c r="J38" s="1803"/>
      <c r="K38" s="1803"/>
      <c r="L38" s="1803"/>
      <c r="M38" s="1803"/>
      <c r="N38" s="1803"/>
      <c r="O38" s="1803"/>
      <c r="P38" s="1803"/>
      <c r="Q38" s="1803"/>
      <c r="R38" s="1803"/>
      <c r="S38" s="1803"/>
      <c r="T38" s="1803"/>
      <c r="U38" s="1803"/>
      <c r="V38" s="1803"/>
      <c r="W38" s="1803"/>
    </row>
    <row r="39" spans="4:16" ht="27" customHeight="1">
      <c r="D39" s="167"/>
      <c r="E39" s="263"/>
      <c r="F39" s="263"/>
      <c r="G39" s="909"/>
      <c r="H39" s="910"/>
      <c r="I39" s="910"/>
      <c r="J39" s="260"/>
      <c r="K39" s="260"/>
      <c r="L39" s="909"/>
      <c r="M39" s="260"/>
      <c r="N39" s="260"/>
      <c r="O39" s="269"/>
      <c r="P39" s="270"/>
    </row>
    <row r="40" spans="4:16" ht="19.5" customHeight="1">
      <c r="D40" s="167"/>
      <c r="L40" s="907"/>
      <c r="O40" s="267"/>
      <c r="P40" s="267"/>
    </row>
    <row r="41" spans="4:16" ht="45" customHeight="1">
      <c r="D41" s="59"/>
      <c r="L41" s="907"/>
      <c r="O41" s="267"/>
      <c r="P41" s="267"/>
    </row>
    <row r="42" spans="4:16" ht="57" customHeight="1" thickBot="1">
      <c r="D42" s="1801" t="s">
        <v>509</v>
      </c>
      <c r="E42" s="1802"/>
      <c r="F42" s="1802"/>
      <c r="G42" s="1802"/>
      <c r="H42" s="1802"/>
      <c r="I42" s="1802"/>
      <c r="J42" s="1802"/>
      <c r="K42" s="1802"/>
      <c r="L42" s="271"/>
      <c r="O42" s="267"/>
      <c r="P42" s="267"/>
    </row>
    <row r="43" spans="4:16" ht="63">
      <c r="D43" s="1790"/>
      <c r="E43" s="1791"/>
      <c r="F43" s="1792"/>
      <c r="G43" s="746"/>
      <c r="H43" s="747" t="str">
        <f>D46</f>
        <v>ОБЩЕЦЕХОВЫЕ</v>
      </c>
      <c r="I43" s="747" t="s">
        <v>503</v>
      </c>
      <c r="J43" s="747" t="s">
        <v>504</v>
      </c>
      <c r="K43" s="748" t="s">
        <v>505</v>
      </c>
      <c r="L43" s="747" t="s">
        <v>510</v>
      </c>
      <c r="O43" s="267"/>
      <c r="P43" s="394" t="s">
        <v>791</v>
      </c>
    </row>
    <row r="44" spans="4:16" ht="15.75">
      <c r="D44" s="1793" t="s">
        <v>1258</v>
      </c>
      <c r="E44" s="1794"/>
      <c r="F44" s="1794"/>
      <c r="G44" s="749">
        <f>'ФОТ цеховые'!V21</f>
        <v>3343018.826447746</v>
      </c>
      <c r="H44" s="749">
        <f>G46*H34</f>
        <v>2629226.6785148964</v>
      </c>
      <c r="I44" s="749">
        <f>H44+G44</f>
        <v>5972245.504962642</v>
      </c>
      <c r="J44" s="749">
        <f>'ФОТ цеховые'!G21</f>
        <v>14.5</v>
      </c>
      <c r="K44" s="750">
        <f>'ФОТ цеховые'!G101*'ФОТ основных'!H34</f>
        <v>10.6031890972143</v>
      </c>
      <c r="L44" s="756">
        <f>K44+J44</f>
        <v>25.103189097214297</v>
      </c>
      <c r="N44" s="188">
        <f>1193.79+2724.3</f>
        <v>3918.09</v>
      </c>
      <c r="O44" s="267">
        <f>1383.12+1511.1</f>
        <v>2894.22</v>
      </c>
      <c r="P44" s="282">
        <f>'Кострома план '!I30*'ФОТ основных'!I34</f>
        <v>552909.5233209119</v>
      </c>
    </row>
    <row r="45" spans="4:16" ht="15.75">
      <c r="D45" s="1793" t="s">
        <v>1259</v>
      </c>
      <c r="E45" s="1794"/>
      <c r="F45" s="1794"/>
      <c r="G45" s="749">
        <f>'ФОТ цеховые'!V50</f>
        <v>3773613.6719895266</v>
      </c>
      <c r="H45" s="749">
        <f>G46*H35</f>
        <v>3073983.275717652</v>
      </c>
      <c r="I45" s="749">
        <f>H45+G45</f>
        <v>6847596.947707178</v>
      </c>
      <c r="J45" s="749">
        <f>'ФОТ цеховые'!G50</f>
        <v>15</v>
      </c>
      <c r="K45" s="750">
        <f>'ФОТ цеховые'!G101*'ФОТ основных'!H35</f>
        <v>12.3968109027857</v>
      </c>
      <c r="L45" s="756">
        <f>K45+J45</f>
        <v>27.396810902785703</v>
      </c>
      <c r="O45" s="267"/>
      <c r="P45" s="282">
        <f>'Кострома план '!I30*'ФОТ основных'!I35</f>
        <v>646438.9858669512</v>
      </c>
    </row>
    <row r="46" spans="4:16" ht="15.75">
      <c r="D46" s="1793" t="s">
        <v>506</v>
      </c>
      <c r="E46" s="1794"/>
      <c r="F46" s="1794"/>
      <c r="G46" s="749">
        <f>'ФОТ цеховые'!V88+'ФОТ цеховые'!V94</f>
        <v>5703209.954232548</v>
      </c>
      <c r="H46" s="749"/>
      <c r="I46" s="749"/>
      <c r="J46" s="751"/>
      <c r="K46" s="752"/>
      <c r="L46" s="752"/>
      <c r="P46" s="282">
        <f>'Кострома план '!I30*'ФОТ основных'!I36</f>
        <v>38194.44323928439</v>
      </c>
    </row>
    <row r="47" spans="4:16" ht="15.75">
      <c r="D47" s="1793" t="s">
        <v>507</v>
      </c>
      <c r="E47" s="1794"/>
      <c r="F47" s="1794"/>
      <c r="G47" s="751"/>
      <c r="H47" s="749"/>
      <c r="I47" s="749"/>
      <c r="J47" s="751"/>
      <c r="K47" s="752"/>
      <c r="L47" s="752"/>
      <c r="P47" s="282">
        <f>P46+P45+P44</f>
        <v>1237542.9524271474</v>
      </c>
    </row>
    <row r="48" spans="4:12" ht="15.75">
      <c r="D48" s="1793" t="s">
        <v>823</v>
      </c>
      <c r="E48" s="1794"/>
      <c r="F48" s="1794"/>
      <c r="G48" s="749"/>
      <c r="H48" s="749"/>
      <c r="I48" s="749"/>
      <c r="J48" s="751"/>
      <c r="K48" s="752"/>
      <c r="L48" s="752"/>
    </row>
    <row r="49" spans="4:12" ht="16.5" thickBot="1">
      <c r="D49" s="1810" t="s">
        <v>508</v>
      </c>
      <c r="E49" s="1811"/>
      <c r="F49" s="1811"/>
      <c r="G49" s="753">
        <f>G46+G45+G44</f>
        <v>12819842.45266982</v>
      </c>
      <c r="H49" s="754">
        <f>H46+H45+H44</f>
        <v>5703209.954232548</v>
      </c>
      <c r="I49" s="753"/>
      <c r="J49" s="753"/>
      <c r="K49" s="755"/>
      <c r="L49" s="757">
        <f>L45+L44</f>
        <v>52.5</v>
      </c>
    </row>
    <row r="50" ht="12.75">
      <c r="G50" s="271">
        <f>'ФОТ цеховые'!I106</f>
        <v>12819842.45266982</v>
      </c>
    </row>
    <row r="51" ht="15.75">
      <c r="D51" s="260"/>
    </row>
    <row r="52" spans="4:11" ht="16.5" thickBot="1">
      <c r="D52" s="1801" t="s">
        <v>1396</v>
      </c>
      <c r="E52" s="1802"/>
      <c r="F52" s="1802"/>
      <c r="G52" s="1802"/>
      <c r="H52" s="1802"/>
      <c r="I52" s="1802"/>
      <c r="J52" s="1802"/>
      <c r="K52" s="1802"/>
    </row>
    <row r="53" spans="4:11" ht="47.25">
      <c r="D53" s="1790"/>
      <c r="E53" s="1791"/>
      <c r="F53" s="1792"/>
      <c r="G53" s="758" t="s">
        <v>513</v>
      </c>
      <c r="H53" s="758" t="s">
        <v>511</v>
      </c>
      <c r="I53" s="758" t="s">
        <v>514</v>
      </c>
      <c r="J53" s="758" t="s">
        <v>512</v>
      </c>
      <c r="K53" s="748"/>
    </row>
    <row r="54" spans="4:11" ht="15.75">
      <c r="D54" s="1793" t="s">
        <v>1258</v>
      </c>
      <c r="E54" s="1794"/>
      <c r="F54" s="1794"/>
      <c r="G54" s="749"/>
      <c r="H54" s="749">
        <f>G57*I34</f>
        <v>1474559.6794666443</v>
      </c>
      <c r="I54" s="749"/>
      <c r="J54" s="749">
        <f>I57*I34</f>
        <v>5.696445855487692</v>
      </c>
      <c r="K54" s="750"/>
    </row>
    <row r="55" spans="4:11" ht="15.75">
      <c r="D55" s="1793" t="s">
        <v>1259</v>
      </c>
      <c r="E55" s="1794"/>
      <c r="F55" s="1794"/>
      <c r="G55" s="749"/>
      <c r="H55" s="749">
        <f>I35*G57</f>
        <v>1723994.2948883951</v>
      </c>
      <c r="I55" s="749"/>
      <c r="J55" s="749">
        <f>I57*I35</f>
        <v>6.660049296582963</v>
      </c>
      <c r="K55" s="750"/>
    </row>
    <row r="56" spans="4:11" ht="16.5" thickBot="1">
      <c r="D56" s="1804" t="s">
        <v>515</v>
      </c>
      <c r="E56" s="1805"/>
      <c r="F56" s="1805"/>
      <c r="G56" s="759"/>
      <c r="H56" s="759">
        <f>G57*I36</f>
        <v>101861.12484019864</v>
      </c>
      <c r="I56" s="759"/>
      <c r="J56" s="759">
        <f>I57*I36</f>
        <v>0.39350484792934387</v>
      </c>
      <c r="K56" s="760"/>
    </row>
    <row r="57" spans="4:11" ht="16.5" thickBot="1">
      <c r="D57" s="1810" t="s">
        <v>508</v>
      </c>
      <c r="E57" s="1811"/>
      <c r="F57" s="1811"/>
      <c r="G57" s="753">
        <f>'ФОТ АУП'!P34</f>
        <v>3300415.099195238</v>
      </c>
      <c r="H57" s="754">
        <f>H56+H55+H54</f>
        <v>3300415.099195238</v>
      </c>
      <c r="I57" s="753">
        <f>'ФОТ АУП'!F34</f>
        <v>12.75</v>
      </c>
      <c r="J57" s="753"/>
      <c r="K57" s="755"/>
    </row>
    <row r="58" ht="12.75"/>
    <row r="59" spans="4:11" ht="16.5" thickBot="1">
      <c r="D59" s="1801" t="s">
        <v>1397</v>
      </c>
      <c r="E59" s="1802"/>
      <c r="F59" s="1802"/>
      <c r="G59" s="1802"/>
      <c r="H59" s="1802"/>
      <c r="I59" s="1802"/>
      <c r="J59" s="1802"/>
      <c r="K59" s="1802"/>
    </row>
    <row r="60" spans="4:11" ht="47.25">
      <c r="D60" s="1790"/>
      <c r="E60" s="1791"/>
      <c r="F60" s="1792"/>
      <c r="G60" s="758" t="s">
        <v>516</v>
      </c>
      <c r="H60" s="758" t="s">
        <v>511</v>
      </c>
      <c r="I60" s="758" t="s">
        <v>517</v>
      </c>
      <c r="J60" s="758" t="s">
        <v>512</v>
      </c>
      <c r="K60" s="748"/>
    </row>
    <row r="61" spans="4:11" ht="15.75">
      <c r="D61" s="1793" t="s">
        <v>1258</v>
      </c>
      <c r="E61" s="1794"/>
      <c r="F61" s="1794"/>
      <c r="G61" s="749"/>
      <c r="H61" s="749">
        <f>G64*I34</f>
        <v>552909.5233209119</v>
      </c>
      <c r="I61" s="749"/>
      <c r="J61" s="749">
        <f>I64*I34</f>
        <v>1.4220685091840894</v>
      </c>
      <c r="K61" s="750"/>
    </row>
    <row r="62" spans="4:11" ht="15.75">
      <c r="D62" s="1793" t="s">
        <v>1259</v>
      </c>
      <c r="E62" s="1794"/>
      <c r="F62" s="1794"/>
      <c r="G62" s="749"/>
      <c r="H62" s="749">
        <f>G64*I35</f>
        <v>646438.9858669512</v>
      </c>
      <c r="I62" s="749"/>
      <c r="J62" s="749">
        <f>I64*I35</f>
        <v>1.662623785875242</v>
      </c>
      <c r="K62" s="750"/>
    </row>
    <row r="63" spans="4:11" ht="16.5" thickBot="1">
      <c r="D63" s="1804" t="s">
        <v>515</v>
      </c>
      <c r="E63" s="1805"/>
      <c r="F63" s="1805"/>
      <c r="G63" s="759"/>
      <c r="H63" s="759">
        <f>G64*I36</f>
        <v>38194.44323928439</v>
      </c>
      <c r="I63" s="759"/>
      <c r="J63" s="759">
        <f>I64*I36</f>
        <v>0.09823508669225917</v>
      </c>
      <c r="K63" s="760"/>
    </row>
    <row r="64" spans="4:11" ht="16.5" thickBot="1">
      <c r="D64" s="1810" t="s">
        <v>508</v>
      </c>
      <c r="E64" s="1811"/>
      <c r="F64" s="1811"/>
      <c r="G64" s="753">
        <f>'Кострома план '!I30</f>
        <v>1237542.9524271477</v>
      </c>
      <c r="H64" s="754">
        <f>H63+H62+H61</f>
        <v>1237542.9524271474</v>
      </c>
      <c r="I64" s="753">
        <f>'Кострома план '!G30</f>
        <v>3.1829273817515906</v>
      </c>
      <c r="J64" s="753">
        <f>J63+J62+J61</f>
        <v>3.1829273817515906</v>
      </c>
      <c r="K64" s="755"/>
    </row>
    <row r="65" spans="4:11" ht="13.5" hidden="1" thickBot="1">
      <c r="D65" s="761"/>
      <c r="E65" s="212"/>
      <c r="F65" s="212"/>
      <c r="G65" s="212"/>
      <c r="H65" s="212"/>
      <c r="I65" s="212"/>
      <c r="J65" s="212"/>
      <c r="K65" s="762"/>
    </row>
    <row r="66" spans="4:11" ht="16.5" thickBot="1">
      <c r="D66" s="1814" t="s">
        <v>1258</v>
      </c>
      <c r="E66" s="1815"/>
      <c r="F66" s="1816"/>
      <c r="G66" s="764"/>
      <c r="H66" s="769">
        <f>H61+H54</f>
        <v>2027469.2027875562</v>
      </c>
      <c r="I66" s="769"/>
      <c r="J66" s="773">
        <f>J61+J54</f>
        <v>7.118514364671782</v>
      </c>
      <c r="K66" s="765"/>
    </row>
    <row r="67" spans="4:11" ht="16.5" thickBot="1">
      <c r="D67" s="1793" t="s">
        <v>1259</v>
      </c>
      <c r="E67" s="1794"/>
      <c r="F67" s="1812"/>
      <c r="G67" s="763"/>
      <c r="H67" s="769">
        <f aca="true" t="shared" si="6" ref="H67:J69">H62+H55</f>
        <v>2370433.280755346</v>
      </c>
      <c r="I67" s="769"/>
      <c r="J67" s="773">
        <f t="shared" si="6"/>
        <v>8.322673082458206</v>
      </c>
      <c r="K67" s="766"/>
    </row>
    <row r="68" spans="4:11" ht="16.5" thickBot="1">
      <c r="D68" s="1804" t="s">
        <v>515</v>
      </c>
      <c r="E68" s="1805"/>
      <c r="F68" s="1806"/>
      <c r="G68" s="767"/>
      <c r="H68" s="770">
        <f t="shared" si="6"/>
        <v>140055.56807948303</v>
      </c>
      <c r="I68" s="767"/>
      <c r="J68" s="767"/>
      <c r="K68" s="768"/>
    </row>
    <row r="69" spans="4:11" ht="16.5" thickBot="1">
      <c r="D69" s="1807" t="s">
        <v>508</v>
      </c>
      <c r="E69" s="1808"/>
      <c r="F69" s="1809"/>
      <c r="G69" s="771"/>
      <c r="H69" s="770">
        <f t="shared" si="6"/>
        <v>4537958.051622385</v>
      </c>
      <c r="I69" s="771"/>
      <c r="J69" s="771"/>
      <c r="K69" s="772"/>
    </row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23" ht="12.75"/>
    <row r="124" ht="12.75"/>
    <row r="126" ht="12.75"/>
    <row r="127" ht="12.75"/>
    <row r="128" ht="12.75"/>
    <row r="129" ht="12.75"/>
    <row r="130" ht="12.75"/>
    <row r="144" ht="12.75"/>
    <row r="145" ht="12.75"/>
    <row r="65445" ht="12.75"/>
    <row r="65461" ht="12.75"/>
    <row r="65466" ht="12.75"/>
    <row r="65467" ht="12.75"/>
    <row r="65475" ht="12.75"/>
    <row r="65477" ht="12.75" hidden="1"/>
    <row r="65478" ht="12.75"/>
    <row r="65479" ht="12.75"/>
    <row r="65480" ht="12.75"/>
    <row r="65482" ht="12.75"/>
    <row r="65483" ht="12.75"/>
    <row r="65485" ht="12.75" hidden="1"/>
    <row r="65488" ht="12.75"/>
    <row r="65489" ht="12.75"/>
    <row r="65491" ht="12.75"/>
    <row r="65496" ht="12.75"/>
    <row r="65497" ht="12.75"/>
    <row r="65498" ht="12.75"/>
    <row r="65499" ht="12.75"/>
    <row r="65500" ht="12.75"/>
    <row r="65501" ht="12.75"/>
    <row r="65502" ht="12.75"/>
    <row r="65504" ht="12.75"/>
    <row r="65506" ht="12.75"/>
    <row r="65507" ht="12.75"/>
    <row r="65509" ht="12.75"/>
    <row r="65510" ht="12.75"/>
    <row r="65511" ht="12.75"/>
    <row r="65512" ht="12.75"/>
    <row r="65513" ht="12.75"/>
    <row r="65514" ht="12.75"/>
    <row r="65518" ht="12.75"/>
    <row r="65520" ht="12.75"/>
    <row r="65521" ht="12.75"/>
    <row r="65522" ht="12.75"/>
    <row r="65523" ht="12.75"/>
    <row r="65528" ht="12.75"/>
    <row r="65531" ht="12.75"/>
    <row r="65532" ht="12.75"/>
    <row r="65534" ht="12.75"/>
    <row r="65535" ht="12.75"/>
  </sheetData>
  <sheetProtection selectLockedCells="1" selectUnlockedCells="1"/>
  <mergeCells count="33">
    <mergeCell ref="E1:W1"/>
    <mergeCell ref="D66:F66"/>
    <mergeCell ref="D46:F46"/>
    <mergeCell ref="D47:F47"/>
    <mergeCell ref="D49:F49"/>
    <mergeCell ref="D52:K52"/>
    <mergeCell ref="D53:F53"/>
    <mergeCell ref="D54:F54"/>
    <mergeCell ref="D57:F57"/>
    <mergeCell ref="D56:F56"/>
    <mergeCell ref="D59:K59"/>
    <mergeCell ref="D60:F60"/>
    <mergeCell ref="D61:F61"/>
    <mergeCell ref="D55:F55"/>
    <mergeCell ref="D68:F68"/>
    <mergeCell ref="D69:F69"/>
    <mergeCell ref="D62:F62"/>
    <mergeCell ref="D63:F63"/>
    <mergeCell ref="D64:F64"/>
    <mergeCell ref="D67:F67"/>
    <mergeCell ref="D45:F45"/>
    <mergeCell ref="D48:F48"/>
    <mergeCell ref="D37:F37"/>
    <mergeCell ref="D33:F33"/>
    <mergeCell ref="D36:F36"/>
    <mergeCell ref="D42:K42"/>
    <mergeCell ref="D38:W38"/>
    <mergeCell ref="C2:C10"/>
    <mergeCell ref="C18:C30"/>
    <mergeCell ref="D34:F34"/>
    <mergeCell ref="D35:F35"/>
    <mergeCell ref="D43:F43"/>
    <mergeCell ref="D44:F44"/>
  </mergeCells>
  <printOptions horizontalCentered="1"/>
  <pageMargins left="0.5905511811023623" right="0.11811023622047245" top="0.31496062992125984" bottom="0.11811023622047245" header="0.5905511811023623" footer="0.5118110236220472"/>
  <pageSetup horizontalDpi="300" verticalDpi="300" orientation="landscape" paperSize="9" scale="4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2:U49"/>
  <sheetViews>
    <sheetView tabSelected="1" zoomScalePageLayoutView="0" workbookViewId="0" topLeftCell="A23">
      <selection activeCell="F43" sqref="F43"/>
    </sheetView>
  </sheetViews>
  <sheetFormatPr defaultColWidth="11.57421875" defaultRowHeight="12.75"/>
  <cols>
    <col min="1" max="1" width="4.140625" style="188" customWidth="1"/>
    <col min="2" max="2" width="5.57421875" style="188" customWidth="1"/>
    <col min="3" max="3" width="29.421875" style="188" customWidth="1"/>
    <col min="4" max="4" width="11.57421875" style="188" customWidth="1"/>
    <col min="5" max="5" width="13.00390625" style="188" customWidth="1"/>
    <col min="6" max="6" width="12.8515625" style="188" customWidth="1"/>
    <col min="7" max="8" width="13.00390625" style="188" customWidth="1"/>
    <col min="9" max="9" width="13.7109375" style="188" customWidth="1"/>
    <col min="10" max="10" width="13.00390625" style="188" customWidth="1"/>
    <col min="11" max="11" width="13.57421875" style="188" customWidth="1"/>
    <col min="12" max="12" width="13.7109375" style="188" customWidth="1"/>
    <col min="13" max="13" width="17.28125" style="188" customWidth="1"/>
    <col min="14" max="14" width="15.00390625" style="188" customWidth="1"/>
    <col min="15" max="15" width="14.00390625" style="188" customWidth="1"/>
    <col min="16" max="16" width="13.28125" style="188" customWidth="1"/>
    <col min="17" max="17" width="12.421875" style="188" customWidth="1"/>
    <col min="18" max="16384" width="11.57421875" style="188" customWidth="1"/>
  </cols>
  <sheetData>
    <row r="2" spans="2:17" s="1007" customFormat="1" ht="46.5" customHeight="1">
      <c r="B2" s="1818" t="s">
        <v>1398</v>
      </c>
      <c r="C2" s="1818"/>
      <c r="D2" s="1818"/>
      <c r="E2" s="1818"/>
      <c r="F2" s="1818"/>
      <c r="G2" s="1818"/>
      <c r="H2" s="1818"/>
      <c r="I2" s="1818"/>
      <c r="J2" s="1818"/>
      <c r="K2" s="1818"/>
      <c r="L2" s="1818"/>
      <c r="M2" s="1818"/>
      <c r="N2" s="1818"/>
      <c r="O2" s="1818"/>
      <c r="P2" s="1818"/>
      <c r="Q2" s="1818"/>
    </row>
    <row r="3" ht="13.5" thickBot="1"/>
    <row r="4" spans="2:18" s="401" customFormat="1" ht="67.5">
      <c r="B4" s="921" t="s">
        <v>142</v>
      </c>
      <c r="C4" s="896" t="s">
        <v>190</v>
      </c>
      <c r="D4" s="922" t="s">
        <v>191</v>
      </c>
      <c r="E4" s="922" t="s">
        <v>192</v>
      </c>
      <c r="F4" s="923" t="s">
        <v>1001</v>
      </c>
      <c r="G4" s="896" t="s">
        <v>1002</v>
      </c>
      <c r="H4" s="896" t="s">
        <v>1003</v>
      </c>
      <c r="I4" s="896" t="s">
        <v>657</v>
      </c>
      <c r="J4" s="896" t="s">
        <v>658</v>
      </c>
      <c r="K4" s="896" t="s">
        <v>1352</v>
      </c>
      <c r="L4" s="896" t="s">
        <v>898</v>
      </c>
      <c r="M4" s="896" t="s">
        <v>1045</v>
      </c>
      <c r="N4" s="896" t="s">
        <v>902</v>
      </c>
      <c r="O4" s="924" t="s">
        <v>149</v>
      </c>
      <c r="P4" s="399"/>
      <c r="Q4" s="400"/>
      <c r="R4" s="401">
        <v>1.045</v>
      </c>
    </row>
    <row r="5" spans="2:17" s="401" customFormat="1" ht="22.5" customHeight="1">
      <c r="B5" s="925"/>
      <c r="C5" s="884"/>
      <c r="D5" s="883"/>
      <c r="E5" s="381">
        <v>4936</v>
      </c>
      <c r="F5" s="889"/>
      <c r="G5" s="884"/>
      <c r="H5" s="884"/>
      <c r="I5" s="884"/>
      <c r="J5" s="884"/>
      <c r="K5" s="1438">
        <v>0.5</v>
      </c>
      <c r="L5" s="884"/>
      <c r="M5" s="884"/>
      <c r="N5" s="884"/>
      <c r="O5" s="926"/>
      <c r="P5" s="399"/>
      <c r="Q5" s="400"/>
    </row>
    <row r="6" spans="2:18" ht="31.5">
      <c r="B6" s="927">
        <v>1</v>
      </c>
      <c r="C6" s="373" t="s">
        <v>1004</v>
      </c>
      <c r="D6" s="918">
        <v>16</v>
      </c>
      <c r="E6" s="918">
        <v>6.18</v>
      </c>
      <c r="F6" s="375">
        <v>1</v>
      </c>
      <c r="G6" s="376">
        <f>E$5*E6*R6</f>
        <v>31877.181599999996</v>
      </c>
      <c r="H6" s="376">
        <v>11</v>
      </c>
      <c r="I6" s="376">
        <f>G6*H6</f>
        <v>350648.99759999994</v>
      </c>
      <c r="J6" s="376">
        <f>I6*0.1</f>
        <v>35064.89975999999</v>
      </c>
      <c r="K6" s="376">
        <f>I6*K5</f>
        <v>175324.49879999997</v>
      </c>
      <c r="L6" s="376">
        <f>(I6+J6+K6+M6)/11/29.4*28</f>
        <v>48574.75291428571</v>
      </c>
      <c r="M6" s="376">
        <v>0</v>
      </c>
      <c r="N6" s="919">
        <f>I6+J6+M6+K6+L6</f>
        <v>609613.1490742856</v>
      </c>
      <c r="O6" s="928">
        <f>N6/12/F6</f>
        <v>50801.09575619047</v>
      </c>
      <c r="P6" s="265"/>
      <c r="Q6" s="260"/>
      <c r="R6" s="401">
        <v>1.045</v>
      </c>
    </row>
    <row r="7" spans="2:18" ht="15.75" hidden="1">
      <c r="B7" s="927">
        <v>1</v>
      </c>
      <c r="C7" s="373" t="s">
        <v>1005</v>
      </c>
      <c r="D7" s="918">
        <v>14</v>
      </c>
      <c r="E7" s="918">
        <v>4.96</v>
      </c>
      <c r="F7" s="920"/>
      <c r="G7" s="376"/>
      <c r="H7" s="376"/>
      <c r="I7" s="376"/>
      <c r="J7" s="376"/>
      <c r="K7" s="376"/>
      <c r="L7" s="376"/>
      <c r="M7" s="376">
        <f>(I7+K7)*0.108</f>
        <v>0</v>
      </c>
      <c r="N7" s="919"/>
      <c r="O7" s="928"/>
      <c r="P7" s="265"/>
      <c r="Q7" s="260"/>
      <c r="R7" s="401">
        <v>1.045</v>
      </c>
    </row>
    <row r="8" spans="2:18" ht="15.75">
      <c r="B8" s="927">
        <v>2</v>
      </c>
      <c r="C8" s="373" t="s">
        <v>1046</v>
      </c>
      <c r="D8" s="918">
        <v>9</v>
      </c>
      <c r="E8" s="918">
        <v>3.02</v>
      </c>
      <c r="F8" s="375">
        <v>1</v>
      </c>
      <c r="G8" s="376">
        <f>E$5*E8*R8</f>
        <v>15577.522399999998</v>
      </c>
      <c r="H8" s="376">
        <v>11</v>
      </c>
      <c r="I8" s="376">
        <f>G8*H8</f>
        <v>171352.74639999997</v>
      </c>
      <c r="J8" s="376">
        <f>I8*0.1</f>
        <v>17135.27464</v>
      </c>
      <c r="K8" s="376">
        <f>I8*K5</f>
        <v>85676.37319999999</v>
      </c>
      <c r="L8" s="376">
        <f>(I8+J8+K8+M8)/11/29.4*28</f>
        <v>23737.176990476182</v>
      </c>
      <c r="M8" s="376">
        <v>0</v>
      </c>
      <c r="N8" s="919">
        <f>I8+J8+M8+K8+L8</f>
        <v>297901.57123047614</v>
      </c>
      <c r="O8" s="928">
        <f>N8/12/F8</f>
        <v>24825.13093587301</v>
      </c>
      <c r="P8" s="265"/>
      <c r="Q8" s="260"/>
      <c r="R8" s="401">
        <v>1.045</v>
      </c>
    </row>
    <row r="9" spans="2:18" ht="15.75">
      <c r="B9" s="927">
        <v>3</v>
      </c>
      <c r="C9" s="373" t="s">
        <v>1006</v>
      </c>
      <c r="D9" s="918">
        <v>9</v>
      </c>
      <c r="E9" s="918">
        <v>2.86</v>
      </c>
      <c r="F9" s="375">
        <v>1</v>
      </c>
      <c r="G9" s="376">
        <f>E$5*E9*R9</f>
        <v>14752.223199999999</v>
      </c>
      <c r="H9" s="376">
        <v>11</v>
      </c>
      <c r="I9" s="376">
        <f>G9*H9</f>
        <v>162274.4552</v>
      </c>
      <c r="J9" s="376">
        <f>I9*0.1</f>
        <v>16227.445520000001</v>
      </c>
      <c r="K9" s="376">
        <f>I9*K5</f>
        <v>81137.2276</v>
      </c>
      <c r="L9" s="376">
        <f>(I9+J9+K9+M9)/11/29.4*28</f>
        <v>22479.578209523814</v>
      </c>
      <c r="M9" s="376">
        <v>0</v>
      </c>
      <c r="N9" s="919">
        <f>I9+J9+M9+K9+L9</f>
        <v>282118.7065295238</v>
      </c>
      <c r="O9" s="928">
        <f>N9/12/F9</f>
        <v>23509.892210793652</v>
      </c>
      <c r="P9" s="265"/>
      <c r="Q9" s="260"/>
      <c r="R9" s="401">
        <v>1.045</v>
      </c>
    </row>
    <row r="10" spans="2:18" ht="15.75" hidden="1">
      <c r="B10" s="927">
        <v>4</v>
      </c>
      <c r="C10" s="373" t="s">
        <v>1007</v>
      </c>
      <c r="D10" s="918"/>
      <c r="E10" s="918"/>
      <c r="F10" s="375"/>
      <c r="G10" s="376"/>
      <c r="H10" s="376"/>
      <c r="I10" s="376"/>
      <c r="J10" s="376"/>
      <c r="K10" s="376"/>
      <c r="L10" s="376"/>
      <c r="M10" s="376">
        <f>(I10+K10)*0.108</f>
        <v>0</v>
      </c>
      <c r="N10" s="919"/>
      <c r="O10" s="928"/>
      <c r="P10" s="265"/>
      <c r="Q10" s="260"/>
      <c r="R10" s="401">
        <v>1.045</v>
      </c>
    </row>
    <row r="11" spans="2:18" ht="15.75">
      <c r="B11" s="927">
        <v>4</v>
      </c>
      <c r="C11" s="373" t="s">
        <v>1008</v>
      </c>
      <c r="D11" s="918">
        <v>8</v>
      </c>
      <c r="E11" s="918">
        <v>2.56</v>
      </c>
      <c r="F11" s="1372">
        <v>0</v>
      </c>
      <c r="G11" s="376">
        <f aca="true" t="shared" si="0" ref="G11:G16">E$5*E11*R11</f>
        <v>13204.787199999999</v>
      </c>
      <c r="H11" s="376">
        <v>11</v>
      </c>
      <c r="I11" s="376">
        <f aca="true" t="shared" si="1" ref="I11:I16">G11*H11</f>
        <v>145252.6592</v>
      </c>
      <c r="J11" s="376">
        <f aca="true" t="shared" si="2" ref="J11:J16">I11*0.1</f>
        <v>14525.26592</v>
      </c>
      <c r="K11" s="376">
        <f>I11*K5</f>
        <v>72626.3296</v>
      </c>
      <c r="L11" s="376">
        <f aca="true" t="shared" si="3" ref="L11:L16">(I11+J11+K11+M11)/11/29.4*28</f>
        <v>20121.580495238097</v>
      </c>
      <c r="M11" s="376">
        <v>0</v>
      </c>
      <c r="N11" s="919">
        <v>0</v>
      </c>
      <c r="O11" s="928"/>
      <c r="P11" s="265"/>
      <c r="Q11" s="260"/>
      <c r="R11" s="401">
        <v>1.045</v>
      </c>
    </row>
    <row r="12" spans="2:18" ht="15.75">
      <c r="B12" s="927">
        <v>5</v>
      </c>
      <c r="C12" s="373" t="s">
        <v>1009</v>
      </c>
      <c r="D12" s="918">
        <v>8</v>
      </c>
      <c r="E12" s="918">
        <v>2.56</v>
      </c>
      <c r="F12" s="375">
        <v>1</v>
      </c>
      <c r="G12" s="376">
        <f t="shared" si="0"/>
        <v>13204.787199999999</v>
      </c>
      <c r="H12" s="376">
        <v>11</v>
      </c>
      <c r="I12" s="376">
        <f t="shared" si="1"/>
        <v>145252.6592</v>
      </c>
      <c r="J12" s="376">
        <f t="shared" si="2"/>
        <v>14525.26592</v>
      </c>
      <c r="K12" s="376">
        <f>I12*K5</f>
        <v>72626.3296</v>
      </c>
      <c r="L12" s="376">
        <f t="shared" si="3"/>
        <v>20121.580495238097</v>
      </c>
      <c r="M12" s="376">
        <v>0</v>
      </c>
      <c r="N12" s="919">
        <f>I12+J12+M12+K12+L12</f>
        <v>252525.8352152381</v>
      </c>
      <c r="O12" s="928">
        <f aca="true" t="shared" si="4" ref="O12:O17">N12/12/F12</f>
        <v>21043.819601269843</v>
      </c>
      <c r="P12" s="265"/>
      <c r="Q12" s="260"/>
      <c r="R12" s="401">
        <v>1.045</v>
      </c>
    </row>
    <row r="13" spans="2:18" ht="15.75">
      <c r="B13" s="927">
        <v>6</v>
      </c>
      <c r="C13" s="373" t="s">
        <v>1010</v>
      </c>
      <c r="D13" s="918">
        <v>8</v>
      </c>
      <c r="E13" s="918">
        <v>2.56</v>
      </c>
      <c r="F13" s="375">
        <v>1</v>
      </c>
      <c r="G13" s="376">
        <f t="shared" si="0"/>
        <v>13204.787199999999</v>
      </c>
      <c r="H13" s="376">
        <v>11</v>
      </c>
      <c r="I13" s="376">
        <f t="shared" si="1"/>
        <v>145252.6592</v>
      </c>
      <c r="J13" s="376">
        <f t="shared" si="2"/>
        <v>14525.26592</v>
      </c>
      <c r="K13" s="376">
        <f>I13*K5</f>
        <v>72626.3296</v>
      </c>
      <c r="L13" s="376">
        <f t="shared" si="3"/>
        <v>20121.580495238097</v>
      </c>
      <c r="M13" s="376">
        <v>0</v>
      </c>
      <c r="N13" s="919">
        <f>I13+J13+M13+K13+L13</f>
        <v>252525.8352152381</v>
      </c>
      <c r="O13" s="928">
        <f t="shared" si="4"/>
        <v>21043.819601269843</v>
      </c>
      <c r="P13" s="265"/>
      <c r="Q13" s="260"/>
      <c r="R13" s="401">
        <v>1.045</v>
      </c>
    </row>
    <row r="14" spans="2:18" ht="27" customHeight="1">
      <c r="B14" s="927">
        <v>7</v>
      </c>
      <c r="C14" s="373" t="s">
        <v>1011</v>
      </c>
      <c r="D14" s="918">
        <v>8</v>
      </c>
      <c r="E14" s="918">
        <v>2.56</v>
      </c>
      <c r="F14" s="1372">
        <v>0.5</v>
      </c>
      <c r="G14" s="376">
        <f t="shared" si="0"/>
        <v>13204.787199999999</v>
      </c>
      <c r="H14" s="376">
        <v>11</v>
      </c>
      <c r="I14" s="376">
        <f t="shared" si="1"/>
        <v>145252.6592</v>
      </c>
      <c r="J14" s="376">
        <f t="shared" si="2"/>
        <v>14525.26592</v>
      </c>
      <c r="K14" s="376">
        <f>I14*K5</f>
        <v>72626.3296</v>
      </c>
      <c r="L14" s="376">
        <f t="shared" si="3"/>
        <v>20121.580495238097</v>
      </c>
      <c r="M14" s="376">
        <v>0</v>
      </c>
      <c r="N14" s="919">
        <f>(I14+J14+M14+K14+L14)*F14</f>
        <v>126262.91760761905</v>
      </c>
      <c r="O14" s="928">
        <f t="shared" si="4"/>
        <v>21043.819601269843</v>
      </c>
      <c r="P14" s="265"/>
      <c r="Q14" s="260"/>
      <c r="R14" s="401">
        <v>1.045</v>
      </c>
    </row>
    <row r="15" spans="2:18" ht="17.25" customHeight="1">
      <c r="B15" s="927">
        <v>8</v>
      </c>
      <c r="C15" s="373" t="s">
        <v>1012</v>
      </c>
      <c r="D15" s="918">
        <v>7</v>
      </c>
      <c r="E15" s="918">
        <v>2.56</v>
      </c>
      <c r="F15" s="1372">
        <v>0.5</v>
      </c>
      <c r="G15" s="376">
        <f t="shared" si="0"/>
        <v>13204.787199999999</v>
      </c>
      <c r="H15" s="376">
        <v>11</v>
      </c>
      <c r="I15" s="376">
        <f t="shared" si="1"/>
        <v>145252.6592</v>
      </c>
      <c r="J15" s="376">
        <f t="shared" si="2"/>
        <v>14525.26592</v>
      </c>
      <c r="K15" s="376">
        <f>I15*K5</f>
        <v>72626.3296</v>
      </c>
      <c r="L15" s="376">
        <f t="shared" si="3"/>
        <v>20121.580495238097</v>
      </c>
      <c r="M15" s="376">
        <v>0</v>
      </c>
      <c r="N15" s="919">
        <f>(I15+J15+M15+K15+L15)*F15</f>
        <v>126262.91760761905</v>
      </c>
      <c r="O15" s="928">
        <f t="shared" si="4"/>
        <v>21043.819601269843</v>
      </c>
      <c r="P15" s="265"/>
      <c r="Q15" s="260"/>
      <c r="R15" s="401">
        <v>1.045</v>
      </c>
    </row>
    <row r="16" spans="2:18" ht="19.5" customHeight="1">
      <c r="B16" s="927">
        <v>9</v>
      </c>
      <c r="C16" s="373" t="s">
        <v>1013</v>
      </c>
      <c r="D16" s="918">
        <v>8</v>
      </c>
      <c r="E16" s="918">
        <v>2.56</v>
      </c>
      <c r="F16" s="375">
        <v>1</v>
      </c>
      <c r="G16" s="376">
        <f t="shared" si="0"/>
        <v>13204.787199999999</v>
      </c>
      <c r="H16" s="376">
        <v>11</v>
      </c>
      <c r="I16" s="376">
        <f t="shared" si="1"/>
        <v>145252.6592</v>
      </c>
      <c r="J16" s="376">
        <f t="shared" si="2"/>
        <v>14525.26592</v>
      </c>
      <c r="K16" s="376">
        <f>I16*K5</f>
        <v>72626.3296</v>
      </c>
      <c r="L16" s="376">
        <f t="shared" si="3"/>
        <v>20121.580495238097</v>
      </c>
      <c r="M16" s="376">
        <v>0</v>
      </c>
      <c r="N16" s="919">
        <f>I16+J16+M16+K16+L16</f>
        <v>252525.8352152381</v>
      </c>
      <c r="O16" s="928">
        <f t="shared" si="4"/>
        <v>21043.819601269843</v>
      </c>
      <c r="P16" s="265"/>
      <c r="Q16" s="260"/>
      <c r="R16" s="401">
        <v>1.045</v>
      </c>
    </row>
    <row r="17" spans="2:18" s="404" customFormat="1" ht="27" customHeight="1" thickBot="1">
      <c r="B17" s="929"/>
      <c r="C17" s="930" t="s">
        <v>1014</v>
      </c>
      <c r="D17" s="931"/>
      <c r="E17" s="931"/>
      <c r="F17" s="932">
        <f>SUM(F6:F16)</f>
        <v>7</v>
      </c>
      <c r="G17" s="932">
        <f>SUM(G6:G16)</f>
        <v>141435.65039999995</v>
      </c>
      <c r="H17" s="931"/>
      <c r="I17" s="932">
        <f aca="true" t="shared" si="5" ref="I17:N17">SUM(I6:I16)</f>
        <v>1555792.1544000003</v>
      </c>
      <c r="J17" s="932">
        <f t="shared" si="5"/>
        <v>155579.21544000003</v>
      </c>
      <c r="K17" s="932">
        <f t="shared" si="5"/>
        <v>777896.0772000002</v>
      </c>
      <c r="L17" s="932">
        <f t="shared" si="5"/>
        <v>215520.9910857143</v>
      </c>
      <c r="M17" s="932">
        <f t="shared" si="5"/>
        <v>0</v>
      </c>
      <c r="N17" s="932">
        <f t="shared" si="5"/>
        <v>2199736.767695238</v>
      </c>
      <c r="O17" s="902">
        <f t="shared" si="4"/>
        <v>26187.342472562355</v>
      </c>
      <c r="P17" s="402"/>
      <c r="Q17" s="403"/>
      <c r="R17" s="401">
        <v>1.045</v>
      </c>
    </row>
    <row r="18" spans="2:19" s="404" customFormat="1" ht="16.5" thickBot="1">
      <c r="B18" s="405"/>
      <c r="C18" s="406"/>
      <c r="D18" s="231"/>
      <c r="E18" s="231"/>
      <c r="F18" s="231"/>
      <c r="G18" s="231"/>
      <c r="H18" s="231"/>
      <c r="I18" s="231"/>
      <c r="J18" s="231"/>
      <c r="K18" s="231"/>
      <c r="L18" s="296"/>
      <c r="M18" s="403"/>
      <c r="N18" s="403"/>
      <c r="O18" s="403"/>
      <c r="P18" s="403"/>
      <c r="Q18" s="403"/>
      <c r="R18" s="401">
        <v>1.045</v>
      </c>
      <c r="S18" s="401"/>
    </row>
    <row r="19" spans="2:18" ht="94.5">
      <c r="B19" s="921" t="s">
        <v>142</v>
      </c>
      <c r="C19" s="896" t="s">
        <v>190</v>
      </c>
      <c r="D19" s="922" t="s">
        <v>191</v>
      </c>
      <c r="E19" s="922" t="s">
        <v>192</v>
      </c>
      <c r="F19" s="896" t="s">
        <v>193</v>
      </c>
      <c r="G19" s="896" t="s">
        <v>1015</v>
      </c>
      <c r="H19" s="896" t="s">
        <v>1003</v>
      </c>
      <c r="I19" s="896" t="s">
        <v>1016</v>
      </c>
      <c r="J19" s="896" t="s">
        <v>1017</v>
      </c>
      <c r="K19" s="896" t="s">
        <v>923</v>
      </c>
      <c r="L19" s="922" t="s">
        <v>899</v>
      </c>
      <c r="M19" s="896" t="s">
        <v>1352</v>
      </c>
      <c r="N19" s="896" t="s">
        <v>898</v>
      </c>
      <c r="O19" s="922" t="s">
        <v>901</v>
      </c>
      <c r="P19" s="896" t="s">
        <v>902</v>
      </c>
      <c r="Q19" s="924" t="s">
        <v>149</v>
      </c>
      <c r="R19" s="401">
        <v>1.045</v>
      </c>
    </row>
    <row r="20" spans="2:18" ht="15.75">
      <c r="B20" s="939"/>
      <c r="C20" s="933" t="s">
        <v>1018</v>
      </c>
      <c r="D20" s="934"/>
      <c r="E20" s="374"/>
      <c r="F20" s="375"/>
      <c r="G20" s="376"/>
      <c r="H20" s="376"/>
      <c r="I20" s="376"/>
      <c r="J20" s="376"/>
      <c r="K20" s="377"/>
      <c r="L20" s="377"/>
      <c r="M20" s="1441"/>
      <c r="N20" s="377"/>
      <c r="O20" s="377"/>
      <c r="P20" s="935"/>
      <c r="Q20" s="1008"/>
      <c r="R20" s="401">
        <v>1.045</v>
      </c>
    </row>
    <row r="21" spans="2:18" ht="15.75">
      <c r="B21" s="941">
        <v>1</v>
      </c>
      <c r="C21" s="373" t="s">
        <v>1019</v>
      </c>
      <c r="D21" s="374">
        <v>4</v>
      </c>
      <c r="E21" s="374">
        <v>1.65</v>
      </c>
      <c r="F21" s="375">
        <v>1</v>
      </c>
      <c r="G21" s="376">
        <f>E$5*E21*R21</f>
        <v>8510.898</v>
      </c>
      <c r="H21" s="376">
        <v>11</v>
      </c>
      <c r="I21" s="376">
        <f>H21*G21*F21</f>
        <v>93619.878</v>
      </c>
      <c r="J21" s="376">
        <f>I21*0.2*1.75</f>
        <v>32766.957300000002</v>
      </c>
      <c r="K21" s="376">
        <f>I21*0.04*1.75</f>
        <v>6553.39146</v>
      </c>
      <c r="L21" s="380">
        <f>I21*0.1</f>
        <v>9361.9878</v>
      </c>
      <c r="M21" s="376">
        <f>I21*K5</f>
        <v>46809.939</v>
      </c>
      <c r="N21" s="376">
        <f>(I21+J21+K21+L21+M21)/11/29.4*28</f>
        <v>16373.34662857143</v>
      </c>
      <c r="O21" s="376">
        <v>0</v>
      </c>
      <c r="P21" s="381">
        <f>SUM(I21:O21)</f>
        <v>205485.50018857143</v>
      </c>
      <c r="Q21" s="899">
        <f>P21/12/F21</f>
        <v>17123.791682380954</v>
      </c>
      <c r="R21" s="401">
        <v>1.045</v>
      </c>
    </row>
    <row r="22" spans="2:18" ht="15.75" hidden="1">
      <c r="B22" s="941">
        <v>2</v>
      </c>
      <c r="C22" s="373" t="s">
        <v>1020</v>
      </c>
      <c r="D22" s="374">
        <v>3</v>
      </c>
      <c r="E22" s="374">
        <v>1.32</v>
      </c>
      <c r="F22" s="920"/>
      <c r="G22" s="376">
        <f>E$5*E22*R22</f>
        <v>6808.7184</v>
      </c>
      <c r="H22" s="376">
        <v>11</v>
      </c>
      <c r="I22" s="376">
        <f>H22*G22*F22</f>
        <v>0</v>
      </c>
      <c r="J22" s="376"/>
      <c r="K22" s="376"/>
      <c r="L22" s="380">
        <f>I22*0.1</f>
        <v>0</v>
      </c>
      <c r="M22" s="376">
        <f>I22*0.75</f>
        <v>0</v>
      </c>
      <c r="N22" s="376">
        <f>(I22+J22+K22+L22+M22)/11/29.4*28</f>
        <v>0</v>
      </c>
      <c r="O22" s="376">
        <f>(I22+J22+K22+M22)*0.108</f>
        <v>0</v>
      </c>
      <c r="P22" s="381">
        <f>SUM(I22:O22)</f>
        <v>0</v>
      </c>
      <c r="Q22" s="899" t="e">
        <f>P22/12/F22</f>
        <v>#DIV/0!</v>
      </c>
      <c r="R22" s="401">
        <v>1.045</v>
      </c>
    </row>
    <row r="23" spans="2:18" ht="33.75" customHeight="1">
      <c r="B23" s="941">
        <v>2</v>
      </c>
      <c r="C23" s="373" t="s">
        <v>976</v>
      </c>
      <c r="D23" s="374">
        <v>2</v>
      </c>
      <c r="E23" s="374">
        <v>1.12</v>
      </c>
      <c r="F23" s="375">
        <v>0.5</v>
      </c>
      <c r="G23" s="376">
        <f>E$5*E23*R23</f>
        <v>5777.0944</v>
      </c>
      <c r="H23" s="376">
        <v>11</v>
      </c>
      <c r="I23" s="376">
        <f>H23*G23*F23</f>
        <v>31774.0192</v>
      </c>
      <c r="J23" s="376"/>
      <c r="K23" s="376"/>
      <c r="L23" s="380">
        <f>I23*0.1</f>
        <v>3177.4019200000002</v>
      </c>
      <c r="M23" s="376">
        <f>I23*K5</f>
        <v>15887.0096</v>
      </c>
      <c r="N23" s="376">
        <f>(I23+J23+K23+L23+M23)/11/29.4*28</f>
        <v>4401.595733333334</v>
      </c>
      <c r="O23" s="376">
        <v>0</v>
      </c>
      <c r="P23" s="381">
        <f>SUM(I23:O23)</f>
        <v>55240.02645333333</v>
      </c>
      <c r="Q23" s="899">
        <f>P23/12/F23</f>
        <v>9206.671075555556</v>
      </c>
      <c r="R23" s="401">
        <v>1.045</v>
      </c>
    </row>
    <row r="24" spans="2:18" ht="23.25" customHeight="1">
      <c r="B24" s="941">
        <v>3</v>
      </c>
      <c r="C24" s="373" t="s">
        <v>1021</v>
      </c>
      <c r="D24" s="374">
        <v>1</v>
      </c>
      <c r="E24" s="374">
        <v>1.12</v>
      </c>
      <c r="F24" s="936">
        <v>0.25</v>
      </c>
      <c r="G24" s="376">
        <f>E$5*E24*R24</f>
        <v>5777.0944</v>
      </c>
      <c r="H24" s="376">
        <v>11</v>
      </c>
      <c r="I24" s="376">
        <f>H24*G24*F24</f>
        <v>15887.0096</v>
      </c>
      <c r="J24" s="376"/>
      <c r="K24" s="376"/>
      <c r="L24" s="380">
        <f>I24*0.1</f>
        <v>1588.7009600000001</v>
      </c>
      <c r="M24" s="376">
        <f>I24*K5</f>
        <v>7943.5048</v>
      </c>
      <c r="N24" s="376">
        <f>(I24+J24+K24+L24+M24)/11/29.4*28</f>
        <v>2200.797866666667</v>
      </c>
      <c r="O24" s="376">
        <v>0</v>
      </c>
      <c r="P24" s="381">
        <f>SUM(I24:O24)</f>
        <v>27620.013226666666</v>
      </c>
      <c r="Q24" s="899">
        <f>P24/12/F24</f>
        <v>9206.671075555556</v>
      </c>
      <c r="R24" s="401">
        <v>1.045</v>
      </c>
    </row>
    <row r="25" spans="2:18" ht="27" customHeight="1" thickBot="1">
      <c r="B25" s="929"/>
      <c r="C25" s="930" t="s">
        <v>1014</v>
      </c>
      <c r="D25" s="931"/>
      <c r="E25" s="931"/>
      <c r="F25" s="1009">
        <f>SUM(F21:F24)</f>
        <v>1.75</v>
      </c>
      <c r="G25" s="932"/>
      <c r="H25" s="931"/>
      <c r="I25" s="901">
        <f aca="true" t="shared" si="6" ref="I25:P25">SUM(I21:I24)</f>
        <v>141280.9068</v>
      </c>
      <c r="J25" s="901">
        <f t="shared" si="6"/>
        <v>32766.957300000002</v>
      </c>
      <c r="K25" s="901">
        <f t="shared" si="6"/>
        <v>6553.39146</v>
      </c>
      <c r="L25" s="901">
        <f t="shared" si="6"/>
        <v>14128.090680000001</v>
      </c>
      <c r="M25" s="901">
        <f t="shared" si="6"/>
        <v>70640.4534</v>
      </c>
      <c r="N25" s="901">
        <f t="shared" si="6"/>
        <v>22975.74022857143</v>
      </c>
      <c r="O25" s="901">
        <v>0</v>
      </c>
      <c r="P25" s="901">
        <f t="shared" si="6"/>
        <v>288345.53986857145</v>
      </c>
      <c r="Q25" s="1010">
        <f>P25/12/F25</f>
        <v>13730.739993741498</v>
      </c>
      <c r="R25" s="401">
        <v>1.045</v>
      </c>
    </row>
    <row r="26" spans="2:19" ht="16.5" thickBot="1">
      <c r="B26" s="260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401">
        <v>1.045</v>
      </c>
      <c r="S26" s="401"/>
    </row>
    <row r="27" spans="2:19" ht="94.5">
      <c r="B27" s="921" t="s">
        <v>142</v>
      </c>
      <c r="C27" s="896" t="s">
        <v>190</v>
      </c>
      <c r="D27" s="922" t="s">
        <v>191</v>
      </c>
      <c r="E27" s="922" t="s">
        <v>192</v>
      </c>
      <c r="F27" s="896" t="s">
        <v>193</v>
      </c>
      <c r="G27" s="896" t="s">
        <v>1015</v>
      </c>
      <c r="H27" s="896" t="s">
        <v>1003</v>
      </c>
      <c r="I27" s="896" t="s">
        <v>1016</v>
      </c>
      <c r="J27" s="896" t="s">
        <v>1017</v>
      </c>
      <c r="K27" s="896" t="s">
        <v>923</v>
      </c>
      <c r="L27" s="922" t="s">
        <v>899</v>
      </c>
      <c r="M27" s="896" t="s">
        <v>1352</v>
      </c>
      <c r="N27" s="896" t="s">
        <v>898</v>
      </c>
      <c r="O27" s="922" t="s">
        <v>901</v>
      </c>
      <c r="P27" s="896" t="s">
        <v>902</v>
      </c>
      <c r="Q27" s="924" t="s">
        <v>149</v>
      </c>
      <c r="R27" s="401">
        <v>1.045</v>
      </c>
      <c r="S27" s="260"/>
    </row>
    <row r="28" spans="2:19" ht="15.75">
      <c r="B28" s="939"/>
      <c r="C28" s="933" t="s">
        <v>1022</v>
      </c>
      <c r="D28" s="934"/>
      <c r="E28" s="374"/>
      <c r="F28" s="375"/>
      <c r="G28" s="374"/>
      <c r="H28" s="374"/>
      <c r="I28" s="374"/>
      <c r="J28" s="374"/>
      <c r="K28" s="374"/>
      <c r="L28" s="374"/>
      <c r="M28" s="374"/>
      <c r="N28" s="374"/>
      <c r="O28" s="374"/>
      <c r="P28" s="937"/>
      <c r="Q28" s="940"/>
      <c r="R28" s="401">
        <v>1.045</v>
      </c>
      <c r="S28" s="260"/>
    </row>
    <row r="29" spans="2:19" ht="15.75">
      <c r="B29" s="941">
        <v>1</v>
      </c>
      <c r="C29" s="938" t="s">
        <v>1023</v>
      </c>
      <c r="D29" s="934">
        <v>9</v>
      </c>
      <c r="E29" s="374">
        <v>2.86</v>
      </c>
      <c r="F29" s="375">
        <v>1</v>
      </c>
      <c r="G29" s="376">
        <f>E$5*E29*R29</f>
        <v>14752.223199999999</v>
      </c>
      <c r="H29" s="374">
        <v>11</v>
      </c>
      <c r="I29" s="376">
        <f>H29*G29*F29</f>
        <v>162274.4552</v>
      </c>
      <c r="J29" s="376"/>
      <c r="K29" s="376"/>
      <c r="L29" s="380">
        <f>I29*0.1</f>
        <v>16227.445520000001</v>
      </c>
      <c r="M29" s="376">
        <f>I29*K5</f>
        <v>81137.2276</v>
      </c>
      <c r="N29" s="376">
        <f>(I29+L29+M29+O29)/11/29.4*28</f>
        <v>22479.578209523814</v>
      </c>
      <c r="O29" s="376">
        <v>0</v>
      </c>
      <c r="P29" s="381">
        <f>SUM(I29:O29)</f>
        <v>282118.7065295238</v>
      </c>
      <c r="Q29" s="899">
        <f aca="true" t="shared" si="7" ref="Q29:Q34">P29/12/F29</f>
        <v>23509.892210793652</v>
      </c>
      <c r="R29" s="401">
        <v>1.045</v>
      </c>
      <c r="S29" s="260"/>
    </row>
    <row r="30" spans="2:19" ht="15.75">
      <c r="B30" s="941">
        <v>2</v>
      </c>
      <c r="C30" s="938" t="s">
        <v>1047</v>
      </c>
      <c r="D30" s="934">
        <v>8</v>
      </c>
      <c r="E30" s="374">
        <v>2.29</v>
      </c>
      <c r="F30" s="1372">
        <v>0.5</v>
      </c>
      <c r="G30" s="376">
        <f>E$5*E30*R30</f>
        <v>11812.094799999999</v>
      </c>
      <c r="H30" s="376">
        <v>11</v>
      </c>
      <c r="I30" s="376">
        <f>H30*G30*F30</f>
        <v>64966.5214</v>
      </c>
      <c r="J30" s="376"/>
      <c r="K30" s="376"/>
      <c r="L30" s="380">
        <f>I30*0.1</f>
        <v>6496.65214</v>
      </c>
      <c r="M30" s="376">
        <f>I30*K5</f>
        <v>32483.2607</v>
      </c>
      <c r="N30" s="376">
        <f>(I30+L30+M30+O30)/11/29.4*28</f>
        <v>8999.691276190475</v>
      </c>
      <c r="O30" s="376">
        <v>0</v>
      </c>
      <c r="P30" s="381">
        <f>SUM(I30:O30)</f>
        <v>112946.12551619048</v>
      </c>
      <c r="Q30" s="899">
        <f t="shared" si="7"/>
        <v>18824.354252698413</v>
      </c>
      <c r="R30" s="401">
        <v>1.045</v>
      </c>
      <c r="S30" s="260"/>
    </row>
    <row r="31" spans="2:19" ht="15.75">
      <c r="B31" s="941">
        <v>3</v>
      </c>
      <c r="C31" s="938" t="s">
        <v>1024</v>
      </c>
      <c r="D31" s="934">
        <v>7</v>
      </c>
      <c r="E31" s="374">
        <v>2.29</v>
      </c>
      <c r="F31" s="1372">
        <v>0.5</v>
      </c>
      <c r="G31" s="376">
        <f>E$5*E31*R31</f>
        <v>11812.094799999999</v>
      </c>
      <c r="H31" s="376">
        <v>11</v>
      </c>
      <c r="I31" s="376">
        <f>H31*G31*F31</f>
        <v>64966.5214</v>
      </c>
      <c r="J31" s="376"/>
      <c r="K31" s="376"/>
      <c r="L31" s="380">
        <f>I31*0.1</f>
        <v>6496.65214</v>
      </c>
      <c r="M31" s="376">
        <f>I31*K5</f>
        <v>32483.2607</v>
      </c>
      <c r="N31" s="376">
        <f>(I31+L31+M31+O31)/11/29.4*28</f>
        <v>8999.691276190475</v>
      </c>
      <c r="O31" s="376">
        <v>0</v>
      </c>
      <c r="P31" s="381">
        <f>SUM(I31:O31)</f>
        <v>112946.12551619048</v>
      </c>
      <c r="Q31" s="899">
        <f t="shared" si="7"/>
        <v>18824.354252698413</v>
      </c>
      <c r="R31" s="401">
        <v>1.045</v>
      </c>
      <c r="S31" s="260"/>
    </row>
    <row r="32" spans="2:19" ht="31.5">
      <c r="B32" s="941">
        <v>4</v>
      </c>
      <c r="C32" s="938" t="s">
        <v>1025</v>
      </c>
      <c r="D32" s="934">
        <v>2</v>
      </c>
      <c r="E32" s="374">
        <v>1.18</v>
      </c>
      <c r="F32" s="1372">
        <v>2</v>
      </c>
      <c r="G32" s="376">
        <f>E$5*E32*R32</f>
        <v>6086.5815999999995</v>
      </c>
      <c r="H32" s="376">
        <v>11</v>
      </c>
      <c r="I32" s="376">
        <f>H32*G32*F32</f>
        <v>133904.7952</v>
      </c>
      <c r="J32" s="376">
        <f>I32*0.15*1.75</f>
        <v>35150.00874</v>
      </c>
      <c r="K32" s="376"/>
      <c r="L32" s="380">
        <f>I32*0.1</f>
        <v>13390.47952</v>
      </c>
      <c r="M32" s="376">
        <f>I32*0.75</f>
        <v>100428.5964</v>
      </c>
      <c r="N32" s="376">
        <f>(I32+L32+M32+O32)/11/29.4*28</f>
        <v>21447.954209523807</v>
      </c>
      <c r="O32" s="376">
        <v>0</v>
      </c>
      <c r="P32" s="381">
        <f>SUM(I32:O32)</f>
        <v>304321.8340695238</v>
      </c>
      <c r="Q32" s="899">
        <f t="shared" si="7"/>
        <v>12680.076419563491</v>
      </c>
      <c r="R32" s="401">
        <v>1.045</v>
      </c>
      <c r="S32" s="260"/>
    </row>
    <row r="33" spans="2:19" ht="29.25" customHeight="1">
      <c r="B33" s="942"/>
      <c r="C33" s="407" t="s">
        <v>1014</v>
      </c>
      <c r="D33" s="408"/>
      <c r="E33" s="408"/>
      <c r="F33" s="292">
        <f>SUM(F29:F32)</f>
        <v>4</v>
      </c>
      <c r="G33" s="292"/>
      <c r="H33" s="408"/>
      <c r="I33" s="292">
        <f>I32+I31+I30+I29</f>
        <v>426112.29319999996</v>
      </c>
      <c r="J33" s="292">
        <f>J32+J31+J30+J29</f>
        <v>35150.00874</v>
      </c>
      <c r="K33" s="292">
        <v>0</v>
      </c>
      <c r="L33" s="292">
        <f>L32+L31+L30+L29</f>
        <v>42611.22932</v>
      </c>
      <c r="M33" s="292">
        <f>M32+M31+M30+M29</f>
        <v>246532.3454</v>
      </c>
      <c r="N33" s="292">
        <f>N32+N31+N30+N29</f>
        <v>61926.914971428574</v>
      </c>
      <c r="O33" s="292">
        <f>O32+O31+O30+O29</f>
        <v>0</v>
      </c>
      <c r="P33" s="292">
        <f>P32+P31+P30+P29</f>
        <v>812332.7916314286</v>
      </c>
      <c r="Q33" s="943">
        <f t="shared" si="7"/>
        <v>16923.599825654765</v>
      </c>
      <c r="R33" s="401">
        <v>1.045</v>
      </c>
      <c r="S33" s="260"/>
    </row>
    <row r="34" spans="2:19" ht="41.25" customHeight="1" thickBot="1">
      <c r="B34" s="929"/>
      <c r="C34" s="930" t="s">
        <v>659</v>
      </c>
      <c r="D34" s="931"/>
      <c r="E34" s="931"/>
      <c r="F34" s="944">
        <f>F33+F25+F17</f>
        <v>12.75</v>
      </c>
      <c r="G34" s="932"/>
      <c r="H34" s="931"/>
      <c r="I34" s="932"/>
      <c r="J34" s="932"/>
      <c r="K34" s="932"/>
      <c r="L34" s="932"/>
      <c r="M34" s="932"/>
      <c r="N34" s="932"/>
      <c r="O34" s="932"/>
      <c r="P34" s="932">
        <f>P33+P25+N17</f>
        <v>3300415.099195238</v>
      </c>
      <c r="Q34" s="902">
        <f t="shared" si="7"/>
        <v>21571.340517615936</v>
      </c>
      <c r="R34" s="401"/>
      <c r="S34" s="260"/>
    </row>
    <row r="35" spans="2:21" s="917" customFormat="1" ht="53.25" customHeight="1">
      <c r="B35" s="1817"/>
      <c r="C35" s="1817"/>
      <c r="D35" s="1817"/>
      <c r="E35" s="1817"/>
      <c r="F35" s="1817"/>
      <c r="G35" s="1817"/>
      <c r="H35" s="1817"/>
      <c r="I35" s="1817"/>
      <c r="J35" s="1817"/>
      <c r="K35" s="1817"/>
      <c r="L35" s="1817"/>
      <c r="M35" s="1817"/>
      <c r="N35" s="1817"/>
      <c r="O35" s="1817"/>
      <c r="P35" s="1817"/>
      <c r="Q35" s="1817"/>
      <c r="R35" s="1006"/>
      <c r="S35" s="1006"/>
      <c r="T35" s="1006"/>
      <c r="U35" s="1006"/>
    </row>
    <row r="36" ht="20.25" customHeight="1">
      <c r="C36" s="1139" t="s">
        <v>948</v>
      </c>
    </row>
    <row r="37" spans="3:7" ht="15.75">
      <c r="C37" s="1139"/>
      <c r="F37" s="271"/>
      <c r="G37" s="395"/>
    </row>
    <row r="39" ht="12.75">
      <c r="O39" s="395"/>
    </row>
    <row r="40" ht="12.75">
      <c r="N40" s="395"/>
    </row>
    <row r="44" ht="12.75">
      <c r="C44" s="395"/>
    </row>
    <row r="47" spans="3:7" ht="12.75">
      <c r="C47" s="271"/>
      <c r="G47" s="409"/>
    </row>
    <row r="48" ht="12.75">
      <c r="G48" s="409"/>
    </row>
    <row r="49" ht="12.75">
      <c r="G49" s="409"/>
    </row>
  </sheetData>
  <sheetProtection selectLockedCells="1" selectUnlockedCells="1"/>
  <mergeCells count="2">
    <mergeCell ref="B35:Q35"/>
    <mergeCell ref="B2:Q2"/>
  </mergeCells>
  <printOptions horizontalCentered="1"/>
  <pageMargins left="0.5905511811023623" right="0.1968503937007874" top="0.7874015748031497" bottom="0.7874015748031497" header="0.5118110236220472" footer="0.5118110236220472"/>
  <pageSetup horizontalDpi="300" verticalDpi="3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10"/>
  <sheetViews>
    <sheetView zoomScale="85" zoomScaleNormal="85" zoomScalePageLayoutView="0" workbookViewId="0" topLeftCell="B1">
      <pane xSplit="3" ySplit="2" topLeftCell="E97" activePane="bottomRight" state="frozen"/>
      <selection pane="topLeft" activeCell="B1" sqref="B1"/>
      <selection pane="topRight" activeCell="E1" sqref="E1"/>
      <selection pane="bottomLeft" activeCell="B3" sqref="B3"/>
      <selection pane="bottomRight" activeCell="G114" sqref="G114"/>
    </sheetView>
  </sheetViews>
  <sheetFormatPr defaultColWidth="9.140625" defaultRowHeight="12.75"/>
  <cols>
    <col min="1" max="1" width="0" style="188" hidden="1" customWidth="1"/>
    <col min="2" max="2" width="1.57421875" style="188" customWidth="1"/>
    <col min="3" max="3" width="5.140625" style="188" customWidth="1"/>
    <col min="4" max="4" width="34.8515625" style="188" customWidth="1"/>
    <col min="5" max="5" width="9.140625" style="188" customWidth="1"/>
    <col min="6" max="6" width="8.421875" style="188" customWidth="1"/>
    <col min="7" max="8" width="14.00390625" style="188" customWidth="1"/>
    <col min="9" max="9" width="18.00390625" style="188" customWidth="1"/>
    <col min="10" max="10" width="14.28125" style="188" customWidth="1"/>
    <col min="11" max="11" width="13.7109375" style="188" customWidth="1"/>
    <col min="12" max="12" width="14.28125" style="188" customWidth="1"/>
    <col min="13" max="13" width="15.7109375" style="188" customWidth="1"/>
    <col min="14" max="15" width="12.7109375" style="188" customWidth="1"/>
    <col min="16" max="16" width="11.7109375" style="188" customWidth="1"/>
    <col min="17" max="17" width="13.28125" style="188" customWidth="1"/>
    <col min="18" max="18" width="15.7109375" style="188" customWidth="1"/>
    <col min="19" max="19" width="12.421875" style="188" customWidth="1"/>
    <col min="20" max="20" width="14.28125" style="188" customWidth="1"/>
    <col min="21" max="21" width="17.00390625" style="188" customWidth="1"/>
    <col min="22" max="22" width="15.28125" style="250" customWidth="1"/>
    <col min="23" max="23" width="13.7109375" style="188" customWidth="1"/>
    <col min="24" max="24" width="11.140625" style="188" customWidth="1"/>
    <col min="25" max="25" width="9.421875" style="188" bestFit="1" customWidth="1"/>
    <col min="26" max="16384" width="9.140625" style="188" customWidth="1"/>
  </cols>
  <sheetData>
    <row r="1" spans="1:23" s="250" customFormat="1" ht="32.25" customHeight="1" thickBot="1">
      <c r="A1" s="248"/>
      <c r="B1" s="249"/>
      <c r="C1" s="257"/>
      <c r="D1" s="1819" t="s">
        <v>1399</v>
      </c>
      <c r="E1" s="1819"/>
      <c r="F1" s="1819"/>
      <c r="G1" s="1819"/>
      <c r="H1" s="1819"/>
      <c r="I1" s="1819"/>
      <c r="J1" s="1819"/>
      <c r="K1" s="1819"/>
      <c r="L1" s="1819"/>
      <c r="M1" s="1819"/>
      <c r="N1" s="1819"/>
      <c r="O1" s="1819"/>
      <c r="P1" s="1819"/>
      <c r="Q1" s="1819"/>
      <c r="R1" s="1819"/>
      <c r="S1" s="1819"/>
      <c r="T1" s="1819"/>
      <c r="U1" s="1819"/>
      <c r="V1" s="1819"/>
      <c r="W1" s="1820"/>
    </row>
    <row r="2" spans="1:23" s="250" customFormat="1" ht="107.25" customHeight="1" thickBot="1">
      <c r="A2" s="248"/>
      <c r="B2" s="249"/>
      <c r="C2" s="1825" t="s">
        <v>927</v>
      </c>
      <c r="D2" s="183" t="s">
        <v>190</v>
      </c>
      <c r="E2" s="184" t="s">
        <v>191</v>
      </c>
      <c r="F2" s="184" t="s">
        <v>192</v>
      </c>
      <c r="G2" s="183" t="s">
        <v>193</v>
      </c>
      <c r="H2" s="183" t="s">
        <v>194</v>
      </c>
      <c r="I2" s="183" t="s">
        <v>1261</v>
      </c>
      <c r="J2" s="183" t="s">
        <v>1262</v>
      </c>
      <c r="K2" s="183" t="s">
        <v>1263</v>
      </c>
      <c r="L2" s="272" t="s">
        <v>928</v>
      </c>
      <c r="M2" s="183" t="s">
        <v>1043</v>
      </c>
      <c r="N2" s="183" t="s">
        <v>1265</v>
      </c>
      <c r="O2" s="183" t="s">
        <v>929</v>
      </c>
      <c r="P2" s="183" t="s">
        <v>1266</v>
      </c>
      <c r="Q2" s="184" t="s">
        <v>897</v>
      </c>
      <c r="R2" s="184" t="s">
        <v>898</v>
      </c>
      <c r="S2" s="184" t="s">
        <v>930</v>
      </c>
      <c r="T2" s="183" t="s">
        <v>900</v>
      </c>
      <c r="U2" s="184" t="s">
        <v>931</v>
      </c>
      <c r="V2" s="185" t="s">
        <v>902</v>
      </c>
      <c r="W2" s="1158" t="s">
        <v>152</v>
      </c>
    </row>
    <row r="3" spans="1:23" s="250" customFormat="1" ht="21" customHeight="1">
      <c r="A3" s="248"/>
      <c r="B3" s="249"/>
      <c r="C3" s="1825"/>
      <c r="D3" s="189" t="s">
        <v>1000</v>
      </c>
      <c r="E3" s="190"/>
      <c r="F3" s="190"/>
      <c r="G3" s="198">
        <v>4936</v>
      </c>
      <c r="H3" s="190"/>
      <c r="I3" s="190"/>
      <c r="J3" s="190"/>
      <c r="K3" s="190"/>
      <c r="L3" s="190"/>
      <c r="M3" s="192"/>
      <c r="N3" s="192"/>
      <c r="O3" s="192"/>
      <c r="P3" s="190"/>
      <c r="Q3" s="190"/>
      <c r="R3" s="190"/>
      <c r="S3" s="190"/>
      <c r="T3" s="190"/>
      <c r="U3" s="190"/>
      <c r="V3" s="273"/>
      <c r="W3" s="194"/>
    </row>
    <row r="4" spans="1:24" s="250" customFormat="1" ht="15.75">
      <c r="A4" s="248"/>
      <c r="B4" s="249"/>
      <c r="C4" s="1825"/>
      <c r="D4" s="197" t="s">
        <v>932</v>
      </c>
      <c r="E4" s="190">
        <v>12</v>
      </c>
      <c r="F4" s="190">
        <v>3.97</v>
      </c>
      <c r="G4" s="191">
        <v>1</v>
      </c>
      <c r="H4" s="198">
        <f>G$3*F4*X4</f>
        <v>20477.7364</v>
      </c>
      <c r="I4" s="198">
        <v>11.08</v>
      </c>
      <c r="J4" s="198">
        <f>I4*H4*G4</f>
        <v>226893.319312</v>
      </c>
      <c r="K4" s="198"/>
      <c r="L4" s="208"/>
      <c r="M4" s="209"/>
      <c r="N4" s="209"/>
      <c r="O4" s="209"/>
      <c r="P4" s="198"/>
      <c r="Q4" s="209"/>
      <c r="R4" s="198">
        <f>(J4+S4+T4+U4)/11.08/29.4*28</f>
        <v>36079.82127619049</v>
      </c>
      <c r="S4" s="198">
        <f>J4*0.1</f>
        <v>22689.331931200002</v>
      </c>
      <c r="T4" s="198">
        <f>J4*0.75</f>
        <v>170169.98948400002</v>
      </c>
      <c r="U4" s="198">
        <v>0</v>
      </c>
      <c r="V4" s="198">
        <f>SUM(J4:U4)</f>
        <v>455832.46200339054</v>
      </c>
      <c r="W4" s="198">
        <f aca="true" t="shared" si="0" ref="W4:W11">V4/G4/12</f>
        <v>37986.03850028254</v>
      </c>
      <c r="X4" s="250">
        <v>1.045</v>
      </c>
    </row>
    <row r="5" spans="3:24" s="274" customFormat="1" ht="16.5" thickBot="1">
      <c r="C5" s="1825"/>
      <c r="D5" s="197" t="s">
        <v>933</v>
      </c>
      <c r="E5" s="190">
        <v>10</v>
      </c>
      <c r="F5" s="190">
        <v>2.86</v>
      </c>
      <c r="G5" s="191">
        <v>1</v>
      </c>
      <c r="H5" s="198">
        <f>G$3*F5*X5</f>
        <v>14752.223199999999</v>
      </c>
      <c r="I5" s="198">
        <v>11.08</v>
      </c>
      <c r="J5" s="198">
        <f>I5*H5*G5</f>
        <v>163454.633056</v>
      </c>
      <c r="K5" s="198"/>
      <c r="L5" s="208"/>
      <c r="M5" s="209"/>
      <c r="N5" s="209"/>
      <c r="O5" s="209"/>
      <c r="P5" s="198"/>
      <c r="Q5" s="209"/>
      <c r="R5" s="198">
        <f>(J5+S5+T5+U5)/11.08/29.4*28</f>
        <v>25992.012304761905</v>
      </c>
      <c r="S5" s="198">
        <f>J5*0.1</f>
        <v>16345.4633056</v>
      </c>
      <c r="T5" s="198">
        <f>J5*0.75</f>
        <v>122590.974792</v>
      </c>
      <c r="U5" s="198">
        <v>0</v>
      </c>
      <c r="V5" s="198">
        <f>SUM(J5:U5)</f>
        <v>328383.0834583619</v>
      </c>
      <c r="W5" s="198">
        <f t="shared" si="0"/>
        <v>27365.256954863493</v>
      </c>
      <c r="X5" s="250">
        <v>1.045</v>
      </c>
    </row>
    <row r="6" spans="1:24" ht="15.75" hidden="1">
      <c r="A6" s="212"/>
      <c r="B6" s="212"/>
      <c r="C6" s="1825"/>
      <c r="D6" s="197" t="s">
        <v>934</v>
      </c>
      <c r="E6" s="190">
        <v>8</v>
      </c>
      <c r="F6" s="190">
        <v>2.56</v>
      </c>
      <c r="G6" s="251"/>
      <c r="H6" s="198"/>
      <c r="I6" s="198"/>
      <c r="J6" s="198">
        <f>I6*H6*G6</f>
        <v>0</v>
      </c>
      <c r="K6" s="198"/>
      <c r="L6" s="208"/>
      <c r="M6" s="209"/>
      <c r="N6" s="209"/>
      <c r="O6" s="209"/>
      <c r="P6" s="198"/>
      <c r="Q6" s="209"/>
      <c r="R6" s="198">
        <f>(J6+S6+T6+U6)/11.08/29.4*28</f>
        <v>0</v>
      </c>
      <c r="S6" s="198">
        <f>J6*0.1</f>
        <v>0</v>
      </c>
      <c r="T6" s="198">
        <f>J6*0.75</f>
        <v>0</v>
      </c>
      <c r="U6" s="198">
        <f>(J6+T6)*0.108</f>
        <v>0</v>
      </c>
      <c r="V6" s="198">
        <f>SUM(J6:U6)</f>
        <v>0</v>
      </c>
      <c r="W6" s="198" t="e">
        <f t="shared" si="0"/>
        <v>#DIV/0!</v>
      </c>
      <c r="X6" s="250">
        <v>1.045</v>
      </c>
    </row>
    <row r="7" spans="3:24" ht="32.25" thickBot="1">
      <c r="C7" s="1825"/>
      <c r="D7" s="197" t="s">
        <v>935</v>
      </c>
      <c r="E7" s="190">
        <v>9</v>
      </c>
      <c r="F7" s="190">
        <v>2.56</v>
      </c>
      <c r="G7" s="191">
        <v>1</v>
      </c>
      <c r="H7" s="198">
        <f>G$3*F7*X7</f>
        <v>13204.787199999999</v>
      </c>
      <c r="I7" s="198">
        <v>11.08</v>
      </c>
      <c r="J7" s="198">
        <f>I7*H7*G7</f>
        <v>146309.042176</v>
      </c>
      <c r="K7" s="198"/>
      <c r="L7" s="198"/>
      <c r="M7" s="209"/>
      <c r="N7" s="209"/>
      <c r="O7" s="201">
        <f>227*46.26*0.5*1*X7</f>
        <v>5486.78295</v>
      </c>
      <c r="P7" s="209"/>
      <c r="Q7" s="209"/>
      <c r="R7" s="198">
        <f>(J7+S7+T7+U7)/11.08/29.4*28</f>
        <v>23265.57744761904</v>
      </c>
      <c r="S7" s="198">
        <f>J7*0.1</f>
        <v>14630.9042176</v>
      </c>
      <c r="T7" s="198">
        <f>J7*0.75</f>
        <v>109731.781632</v>
      </c>
      <c r="U7" s="198">
        <v>0</v>
      </c>
      <c r="V7" s="198">
        <f>SUM(J7:U7)</f>
        <v>299424.08842321904</v>
      </c>
      <c r="W7" s="198">
        <f t="shared" si="0"/>
        <v>24952.007368601586</v>
      </c>
      <c r="X7" s="250">
        <v>1.045</v>
      </c>
    </row>
    <row r="8" spans="3:24" ht="15.75" hidden="1">
      <c r="C8" s="1825"/>
      <c r="D8" s="197"/>
      <c r="E8" s="190"/>
      <c r="F8" s="190"/>
      <c r="G8" s="191"/>
      <c r="H8" s="198"/>
      <c r="I8" s="198"/>
      <c r="J8" s="198">
        <f>(J4+J5+J6+J7)/11/29.4*28</f>
        <v>46463.80905142857</v>
      </c>
      <c r="K8" s="198">
        <f>(K4+K5+K6+K7)/11/29.4*28</f>
        <v>0</v>
      </c>
      <c r="L8" s="198">
        <f>(L4+L5+L6+L7)/11/29.4*28</f>
        <v>0</v>
      </c>
      <c r="M8" s="198">
        <f>(M4+M5+M6+M7)/11/29.4*28</f>
        <v>0</v>
      </c>
      <c r="N8" s="198"/>
      <c r="O8" s="198"/>
      <c r="P8" s="198">
        <f>(P4+P5+P6+P7)/11/29.4*28</f>
        <v>0</v>
      </c>
      <c r="Q8" s="198">
        <f>(Q4+Q5+Q6+Q7)/11/29.4*28</f>
        <v>0</v>
      </c>
      <c r="R8" s="198"/>
      <c r="S8" s="198">
        <f>(S4+S5+S6+S7)/11/29.4*28</f>
        <v>4646.380905142858</v>
      </c>
      <c r="T8" s="198">
        <f>(T4+T5+T6+T7)/11/29.4*28</f>
        <v>34847.85678857144</v>
      </c>
      <c r="U8" s="198">
        <f>(J8+T8)*0.108</f>
        <v>8781.65991072</v>
      </c>
      <c r="V8" s="198"/>
      <c r="W8" s="198" t="e">
        <f t="shared" si="0"/>
        <v>#DIV/0!</v>
      </c>
      <c r="X8" s="250">
        <v>1.045</v>
      </c>
    </row>
    <row r="9" spans="3:24" ht="15.75" hidden="1">
      <c r="C9" s="1825"/>
      <c r="D9" s="197"/>
      <c r="E9" s="190"/>
      <c r="F9" s="190"/>
      <c r="G9" s="191"/>
      <c r="H9" s="198"/>
      <c r="I9" s="198"/>
      <c r="J9" s="198">
        <f>J8+J7+J6+J5+J4</f>
        <v>583120.8035954286</v>
      </c>
      <c r="K9" s="198">
        <f>K8+K7+K6+K5+K4</f>
        <v>0</v>
      </c>
      <c r="L9" s="198">
        <f>L8+L7+L6+L5+L4</f>
        <v>0</v>
      </c>
      <c r="M9" s="198">
        <f>M8+M7+M6+M5+M4</f>
        <v>0</v>
      </c>
      <c r="N9" s="198"/>
      <c r="O9" s="198">
        <f>O8+O7+O6+O5+O4</f>
        <v>5486.78295</v>
      </c>
      <c r="P9" s="198">
        <f>P8+P7+P6+P5+P4</f>
        <v>0</v>
      </c>
      <c r="Q9" s="198">
        <f>Q8+Q7+Q6+Q5+Q4</f>
        <v>0</v>
      </c>
      <c r="R9" s="198"/>
      <c r="S9" s="198">
        <f>S8+S7+S6+S5+S4</f>
        <v>58312.08035954286</v>
      </c>
      <c r="T9" s="198">
        <f>T8+T7+T6+T5+T4</f>
        <v>437340.60269657144</v>
      </c>
      <c r="U9" s="198">
        <f>(J9+T9)*0.108</f>
        <v>110209.83187953601</v>
      </c>
      <c r="V9" s="198">
        <f>SUM(J9:U9)</f>
        <v>1194470.101481079</v>
      </c>
      <c r="W9" s="198" t="e">
        <f t="shared" si="0"/>
        <v>#DIV/0!</v>
      </c>
      <c r="X9" s="250">
        <v>1.045</v>
      </c>
    </row>
    <row r="10" spans="3:24" ht="15.75" hidden="1">
      <c r="C10" s="1825"/>
      <c r="D10" s="197"/>
      <c r="E10" s="190"/>
      <c r="F10" s="190"/>
      <c r="G10" s="191"/>
      <c r="H10" s="198"/>
      <c r="I10" s="198"/>
      <c r="J10" s="198"/>
      <c r="K10" s="198"/>
      <c r="L10" s="208"/>
      <c r="M10" s="209"/>
      <c r="N10" s="209"/>
      <c r="O10" s="209"/>
      <c r="P10" s="198"/>
      <c r="Q10" s="209"/>
      <c r="R10" s="198"/>
      <c r="S10" s="198"/>
      <c r="T10" s="198"/>
      <c r="U10" s="198">
        <f>(J10+T10)*0.108</f>
        <v>0</v>
      </c>
      <c r="V10" s="198"/>
      <c r="W10" s="198" t="e">
        <f t="shared" si="0"/>
        <v>#DIV/0!</v>
      </c>
      <c r="X10" s="250">
        <v>1.045</v>
      </c>
    </row>
    <row r="11" spans="3:24" s="275" customFormat="1" ht="16.5" thickBot="1">
      <c r="C11" s="1825"/>
      <c r="D11" s="276" t="s">
        <v>936</v>
      </c>
      <c r="E11" s="277"/>
      <c r="F11" s="277"/>
      <c r="G11" s="278">
        <f>SUM(G4:G10)</f>
        <v>3</v>
      </c>
      <c r="H11" s="279"/>
      <c r="I11" s="278"/>
      <c r="J11" s="279">
        <f>J7+J5+J4</f>
        <v>536656.9945439999</v>
      </c>
      <c r="K11" s="280"/>
      <c r="L11" s="280"/>
      <c r="M11" s="280"/>
      <c r="N11" s="280"/>
      <c r="O11" s="279">
        <f>O7+O5+O4</f>
        <v>5486.78295</v>
      </c>
      <c r="P11" s="280">
        <f>SUM(P4:P7)</f>
        <v>0</v>
      </c>
      <c r="Q11" s="280">
        <f>SUM(Q4:Q7)</f>
        <v>0</v>
      </c>
      <c r="R11" s="279">
        <f>R7+R5+R4</f>
        <v>85337.41102857143</v>
      </c>
      <c r="S11" s="279">
        <f>SUM(S4:S7)</f>
        <v>53665.699454400004</v>
      </c>
      <c r="T11" s="279">
        <f>SUM(T4:T7)</f>
        <v>402492.74590800004</v>
      </c>
      <c r="U11" s="279">
        <v>0</v>
      </c>
      <c r="V11" s="279">
        <f>SUM(V4:V7)</f>
        <v>1083639.6338849715</v>
      </c>
      <c r="W11" s="279">
        <f t="shared" si="0"/>
        <v>30101.10094124921</v>
      </c>
      <c r="X11" s="250">
        <v>1.045</v>
      </c>
    </row>
    <row r="12" spans="3:24" ht="16.5" thickBot="1">
      <c r="C12" s="1825"/>
      <c r="D12" s="189"/>
      <c r="E12" s="190"/>
      <c r="F12" s="190"/>
      <c r="G12" s="191"/>
      <c r="H12" s="213"/>
      <c r="I12" s="199"/>
      <c r="J12" s="198"/>
      <c r="K12" s="198"/>
      <c r="L12" s="208"/>
      <c r="M12" s="209"/>
      <c r="N12" s="209"/>
      <c r="O12" s="209"/>
      <c r="P12" s="198"/>
      <c r="Q12" s="209"/>
      <c r="R12" s="198"/>
      <c r="S12" s="209"/>
      <c r="T12" s="198"/>
      <c r="U12" s="198"/>
      <c r="V12" s="202"/>
      <c r="W12" s="281"/>
      <c r="X12" s="250">
        <v>1.045</v>
      </c>
    </row>
    <row r="13" spans="3:24" ht="31.5">
      <c r="C13" s="1825"/>
      <c r="D13" s="189" t="s">
        <v>294</v>
      </c>
      <c r="E13" s="261"/>
      <c r="F13" s="261"/>
      <c r="G13" s="261"/>
      <c r="H13" s="261"/>
      <c r="I13" s="261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82"/>
      <c r="W13" s="283"/>
      <c r="X13" s="250">
        <v>1.045</v>
      </c>
    </row>
    <row r="14" spans="3:24" ht="25.5" customHeight="1">
      <c r="C14" s="1825"/>
      <c r="D14" s="197" t="s">
        <v>937</v>
      </c>
      <c r="E14" s="190">
        <v>4</v>
      </c>
      <c r="F14" s="190">
        <v>1.74</v>
      </c>
      <c r="G14" s="191">
        <v>4</v>
      </c>
      <c r="H14" s="198">
        <f>G$3*F14*X14</f>
        <v>8975.128799999999</v>
      </c>
      <c r="I14" s="199">
        <v>11.08</v>
      </c>
      <c r="J14" s="198">
        <f>I14*H14*G14</f>
        <v>397777.70841599995</v>
      </c>
      <c r="K14" s="200">
        <f>(J14/G14*0.1*3+J14/G14*0.15*1)*1.75</f>
        <v>78312.4863444</v>
      </c>
      <c r="L14" s="208"/>
      <c r="M14" s="209"/>
      <c r="N14" s="209"/>
      <c r="O14" s="209"/>
      <c r="P14" s="201">
        <f>J14*0.04*1.75</f>
        <v>27844.439589119997</v>
      </c>
      <c r="Q14" s="201">
        <f>R14/28*7</f>
        <v>18479.23734810238</v>
      </c>
      <c r="R14" s="198">
        <f>(J14+K14+L14+M14+P14+S14+T14+U14)/(330*12/365)/29.4*28</f>
        <v>73916.94939240951</v>
      </c>
      <c r="S14" s="201">
        <f>J14*0.1</f>
        <v>39777.770841599995</v>
      </c>
      <c r="T14" s="198">
        <f>J14*0.75</f>
        <v>298333.28131199995</v>
      </c>
      <c r="U14" s="198">
        <v>0</v>
      </c>
      <c r="V14" s="202">
        <f>SUM(J14:U14)</f>
        <v>934441.8732436318</v>
      </c>
      <c r="W14" s="203">
        <f aca="true" t="shared" si="1" ref="W14:W19">V14/G14/12</f>
        <v>19467.539025908995</v>
      </c>
      <c r="X14" s="250">
        <v>1.045</v>
      </c>
    </row>
    <row r="15" spans="3:24" ht="48" customHeight="1" thickBot="1">
      <c r="C15" s="1825"/>
      <c r="D15" s="197" t="s">
        <v>938</v>
      </c>
      <c r="E15" s="190">
        <v>3</v>
      </c>
      <c r="F15" s="190">
        <v>1.4</v>
      </c>
      <c r="G15" s="191">
        <v>6</v>
      </c>
      <c r="H15" s="198">
        <f>G$3*F15*X15</f>
        <v>7221.3679999999995</v>
      </c>
      <c r="I15" s="199">
        <v>11.08</v>
      </c>
      <c r="J15" s="198">
        <f>I15*H15*G15</f>
        <v>480076.54464</v>
      </c>
      <c r="K15" s="198"/>
      <c r="L15" s="208"/>
      <c r="M15" s="209"/>
      <c r="N15" s="209"/>
      <c r="O15" s="201">
        <f>227*46.26*0.5*G15*X15</f>
        <v>32920.6977</v>
      </c>
      <c r="P15" s="201">
        <f>J15*0.04*1.75</f>
        <v>33605.3581248</v>
      </c>
      <c r="Q15" s="209"/>
      <c r="R15" s="198">
        <f>(J15+K15+L15+M15+P15+S15+T15+U15)/(337*12/365)/29.4*28</f>
        <v>79232.6415344807</v>
      </c>
      <c r="S15" s="201">
        <f>J15*0.1</f>
        <v>48007.654464</v>
      </c>
      <c r="T15" s="198">
        <f>J15*0.75</f>
        <v>360057.40848</v>
      </c>
      <c r="U15" s="198">
        <v>0</v>
      </c>
      <c r="V15" s="202">
        <f>SUM(J15:U15)</f>
        <v>1033900.3049432808</v>
      </c>
      <c r="W15" s="203">
        <f t="shared" si="1"/>
        <v>14359.726457545565</v>
      </c>
      <c r="X15" s="250">
        <v>1.045</v>
      </c>
    </row>
    <row r="16" spans="3:24" ht="47.25" hidden="1">
      <c r="C16" s="1825"/>
      <c r="D16" s="197" t="s">
        <v>939</v>
      </c>
      <c r="E16" s="190">
        <v>4</v>
      </c>
      <c r="F16" s="190">
        <v>1.56</v>
      </c>
      <c r="G16" s="251"/>
      <c r="H16" s="198">
        <f>G$3*F16*X16</f>
        <v>8046.667199999999</v>
      </c>
      <c r="I16" s="199">
        <v>11.08</v>
      </c>
      <c r="J16" s="198">
        <f>I16*H16*G16</f>
        <v>0</v>
      </c>
      <c r="K16" s="198"/>
      <c r="L16" s="198"/>
      <c r="M16" s="209"/>
      <c r="N16" s="209"/>
      <c r="O16" s="201">
        <f>227*35.56*0.5*G16*X16</f>
        <v>0</v>
      </c>
      <c r="P16" s="201">
        <f>J16*0.04*1.75</f>
        <v>0</v>
      </c>
      <c r="Q16" s="209"/>
      <c r="R16" s="198">
        <f>(J16+K16+L16+M16+P16+S16+T16+U16)/(337*12/365)/29.4*28</f>
        <v>0</v>
      </c>
      <c r="S16" s="201">
        <f>J16*0.1</f>
        <v>0</v>
      </c>
      <c r="T16" s="198">
        <f>J16*0.75</f>
        <v>0</v>
      </c>
      <c r="U16" s="198">
        <f>(J16+T16)*0.108</f>
        <v>0</v>
      </c>
      <c r="V16" s="202">
        <f>SUM(J16:U16)</f>
        <v>0</v>
      </c>
      <c r="W16" s="203" t="e">
        <f t="shared" si="1"/>
        <v>#DIV/0!</v>
      </c>
      <c r="X16" s="250">
        <v>1.045</v>
      </c>
    </row>
    <row r="17" spans="3:24" ht="33" customHeight="1" thickBot="1">
      <c r="C17" s="1825"/>
      <c r="D17" s="197" t="s">
        <v>975</v>
      </c>
      <c r="E17" s="190">
        <v>5</v>
      </c>
      <c r="F17" s="190">
        <v>1.84</v>
      </c>
      <c r="G17" s="191">
        <v>1</v>
      </c>
      <c r="H17" s="198">
        <f>G$3*F17*X17</f>
        <v>9490.940799999998</v>
      </c>
      <c r="I17" s="199">
        <v>11.08</v>
      </c>
      <c r="J17" s="198">
        <f>I17*H17*G17</f>
        <v>105159.62406399999</v>
      </c>
      <c r="K17" s="198"/>
      <c r="L17" s="198"/>
      <c r="M17" s="209"/>
      <c r="N17" s="209"/>
      <c r="O17" s="201">
        <f>227*46.26*0.5*G17*X17</f>
        <v>5486.78295</v>
      </c>
      <c r="P17" s="201">
        <f>J17*0.04*1.75</f>
        <v>7361.17368448</v>
      </c>
      <c r="Q17" s="284"/>
      <c r="R17" s="198">
        <f>(J17+K17+L17+M17+P17+S17+T17+U17)/(337*12/365)/29.4*28</f>
        <v>17355.721478981486</v>
      </c>
      <c r="S17" s="201">
        <f>J17*0.1</f>
        <v>10515.9624064</v>
      </c>
      <c r="T17" s="198">
        <f>J17*0.75</f>
        <v>78869.718048</v>
      </c>
      <c r="U17" s="198">
        <v>0</v>
      </c>
      <c r="V17" s="202">
        <f>SUM(J17:U17)</f>
        <v>224748.98263186147</v>
      </c>
      <c r="W17" s="203">
        <f t="shared" si="1"/>
        <v>18729.081885988457</v>
      </c>
      <c r="X17" s="250">
        <v>1.045</v>
      </c>
    </row>
    <row r="18" spans="3:24" ht="32.25" thickBot="1">
      <c r="C18" s="1825"/>
      <c r="D18" s="197" t="s">
        <v>976</v>
      </c>
      <c r="E18" s="190">
        <v>2</v>
      </c>
      <c r="F18" s="190">
        <v>1.12</v>
      </c>
      <c r="G18" s="191">
        <v>0.5</v>
      </c>
      <c r="H18" s="198">
        <f>G$3*F18*X18</f>
        <v>5777.0944</v>
      </c>
      <c r="I18" s="199">
        <v>11</v>
      </c>
      <c r="J18" s="198">
        <f>I18*H18*G18</f>
        <v>31774.0192</v>
      </c>
      <c r="K18" s="198"/>
      <c r="L18" s="198"/>
      <c r="M18" s="209"/>
      <c r="N18" s="209"/>
      <c r="O18" s="198"/>
      <c r="P18" s="201">
        <f>J18*0.04*1.75</f>
        <v>2224.1813439999996</v>
      </c>
      <c r="Q18" s="209"/>
      <c r="R18" s="198">
        <f>(J18+K18+L18+M18+P18+S18+T18+U18)/11/29.4*28</f>
        <v>5281.91488</v>
      </c>
      <c r="S18" s="201">
        <f>J18*0.1</f>
        <v>3177.4019200000002</v>
      </c>
      <c r="T18" s="198">
        <f>J18*0.75</f>
        <v>23830.5144</v>
      </c>
      <c r="U18" s="198">
        <v>0</v>
      </c>
      <c r="V18" s="202">
        <f>SUM(J18:U18)</f>
        <v>66288.031744</v>
      </c>
      <c r="W18" s="203">
        <f t="shared" si="1"/>
        <v>11048.005290666668</v>
      </c>
      <c r="X18" s="250">
        <v>1.045</v>
      </c>
    </row>
    <row r="19" spans="3:24" s="275" customFormat="1" ht="16.5" thickBot="1">
      <c r="C19" s="1825"/>
      <c r="D19" s="276" t="s">
        <v>936</v>
      </c>
      <c r="E19" s="277"/>
      <c r="F19" s="277"/>
      <c r="G19" s="278">
        <f>SUM(G14:G18)</f>
        <v>11.5</v>
      </c>
      <c r="H19" s="280">
        <f>SUM(H14:H18)</f>
        <v>39511.199199999995</v>
      </c>
      <c r="I19" s="278"/>
      <c r="J19" s="280">
        <f>SUM(J14:J18)</f>
        <v>1014787.8963199999</v>
      </c>
      <c r="K19" s="280">
        <f>SUM(K14:K18)</f>
        <v>78312.4863444</v>
      </c>
      <c r="L19" s="280">
        <f>SUM(L14:L18)</f>
        <v>0</v>
      </c>
      <c r="M19" s="280">
        <f>SUM(M14:M18)</f>
        <v>0</v>
      </c>
      <c r="N19" s="280"/>
      <c r="O19" s="279">
        <f aca="true" t="shared" si="2" ref="O19:V19">SUM(O14:O18)</f>
        <v>38407.48065</v>
      </c>
      <c r="P19" s="279">
        <f t="shared" si="2"/>
        <v>71035.1527424</v>
      </c>
      <c r="Q19" s="279">
        <f t="shared" si="2"/>
        <v>18479.23734810238</v>
      </c>
      <c r="R19" s="279">
        <f t="shared" si="2"/>
        <v>175787.2272858717</v>
      </c>
      <c r="S19" s="279">
        <f t="shared" si="2"/>
        <v>101478.78963199999</v>
      </c>
      <c r="T19" s="279">
        <f t="shared" si="2"/>
        <v>761090.92224</v>
      </c>
      <c r="U19" s="202">
        <f t="shared" si="2"/>
        <v>0</v>
      </c>
      <c r="V19" s="279">
        <f t="shared" si="2"/>
        <v>2259379.1925627743</v>
      </c>
      <c r="W19" s="285">
        <f t="shared" si="1"/>
        <v>16372.31298958532</v>
      </c>
      <c r="X19" s="250">
        <v>1.045</v>
      </c>
    </row>
    <row r="20" spans="3:23" ht="16.5" thickBot="1">
      <c r="C20" s="1825"/>
      <c r="D20" s="214"/>
      <c r="E20" s="215"/>
      <c r="F20" s="215"/>
      <c r="G20" s="216"/>
      <c r="H20" s="286"/>
      <c r="I20" s="218"/>
      <c r="J20" s="217"/>
      <c r="K20" s="217"/>
      <c r="L20" s="217"/>
      <c r="M20" s="217"/>
      <c r="N20" s="217"/>
      <c r="O20" s="287"/>
      <c r="P20" s="217"/>
      <c r="Q20" s="287"/>
      <c r="R20" s="217"/>
      <c r="S20" s="287"/>
      <c r="T20" s="217"/>
      <c r="U20" s="217"/>
      <c r="V20" s="220"/>
      <c r="W20" s="288"/>
    </row>
    <row r="21" spans="3:23" s="256" customFormat="1" ht="30" customHeight="1" thickBot="1">
      <c r="C21" s="1826"/>
      <c r="D21" s="289" t="s">
        <v>977</v>
      </c>
      <c r="E21" s="290"/>
      <c r="F21" s="290"/>
      <c r="G21" s="291">
        <f aca="true" t="shared" si="3" ref="G21:M21">G11+G19</f>
        <v>14.5</v>
      </c>
      <c r="H21" s="292">
        <f t="shared" si="3"/>
        <v>39511.199199999995</v>
      </c>
      <c r="I21" s="292">
        <f t="shared" si="3"/>
        <v>0</v>
      </c>
      <c r="J21" s="292">
        <f t="shared" si="3"/>
        <v>1551444.8908639997</v>
      </c>
      <c r="K21" s="292">
        <f t="shared" si="3"/>
        <v>78312.4863444</v>
      </c>
      <c r="L21" s="292">
        <f t="shared" si="3"/>
        <v>0</v>
      </c>
      <c r="M21" s="292">
        <f t="shared" si="3"/>
        <v>0</v>
      </c>
      <c r="N21" s="292"/>
      <c r="O21" s="292">
        <f aca="true" t="shared" si="4" ref="O21:V21">O11+O19</f>
        <v>43894.2636</v>
      </c>
      <c r="P21" s="292">
        <f t="shared" si="4"/>
        <v>71035.1527424</v>
      </c>
      <c r="Q21" s="292">
        <f t="shared" si="4"/>
        <v>18479.23734810238</v>
      </c>
      <c r="R21" s="292">
        <f t="shared" si="4"/>
        <v>261124.63831444312</v>
      </c>
      <c r="S21" s="292">
        <f t="shared" si="4"/>
        <v>155144.4890864</v>
      </c>
      <c r="T21" s="292">
        <f t="shared" si="4"/>
        <v>1163583.668148</v>
      </c>
      <c r="U21" s="292">
        <f t="shared" si="4"/>
        <v>0</v>
      </c>
      <c r="V21" s="292">
        <f t="shared" si="4"/>
        <v>3343018.826447746</v>
      </c>
      <c r="W21" s="292">
        <f>V21/G21/12</f>
        <v>19212.75187613647</v>
      </c>
    </row>
    <row r="22" spans="3:23" s="256" customFormat="1" ht="15.75" hidden="1">
      <c r="C22" s="293"/>
      <c r="D22" s="294"/>
      <c r="E22" s="295"/>
      <c r="F22" s="295"/>
      <c r="G22" s="295"/>
      <c r="H22" s="295"/>
      <c r="I22" s="295"/>
      <c r="J22" s="296"/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</row>
    <row r="23" spans="3:23" s="256" customFormat="1" ht="15.75" hidden="1">
      <c r="C23" s="297"/>
      <c r="D23" s="298"/>
      <c r="E23" s="299"/>
      <c r="F23" s="299"/>
      <c r="G23" s="299"/>
      <c r="H23" s="299"/>
      <c r="I23" s="299"/>
      <c r="J23" s="300">
        <f>J14/10.85/29.4*35</f>
        <v>43644.69041211323</v>
      </c>
      <c r="K23" s="300">
        <f>K14/10.85/29.4*35</f>
        <v>8592.548424884793</v>
      </c>
      <c r="L23" s="300">
        <f>L14/10.85/29.4*35</f>
        <v>0</v>
      </c>
      <c r="M23" s="300">
        <f>M14/10.85/29.4*35</f>
        <v>0</v>
      </c>
      <c r="N23" s="300"/>
      <c r="O23" s="300">
        <f>O14/10.85/29.4*35</f>
        <v>0</v>
      </c>
      <c r="P23" s="300">
        <f>P14/10.85/29.4*35</f>
        <v>3055.128328847926</v>
      </c>
      <c r="Q23" s="300"/>
      <c r="R23" s="300"/>
      <c r="S23" s="300">
        <f>S14/10.85/29.4*35</f>
        <v>4364.469041211323</v>
      </c>
      <c r="T23" s="300">
        <f>T14/10.85/29.4*35</f>
        <v>32733.517809084922</v>
      </c>
      <c r="U23" s="300">
        <f>U14/10.85/29.4*35</f>
        <v>0</v>
      </c>
      <c r="V23" s="300"/>
      <c r="W23" s="300"/>
    </row>
    <row r="24" spans="3:23" s="256" customFormat="1" ht="15.75" hidden="1">
      <c r="C24" s="297"/>
      <c r="D24" s="298"/>
      <c r="E24" s="299"/>
      <c r="F24" s="299"/>
      <c r="G24" s="299"/>
      <c r="H24" s="299"/>
      <c r="I24" s="299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</row>
    <row r="25" spans="3:23" s="256" customFormat="1" ht="15.75" hidden="1">
      <c r="C25" s="297"/>
      <c r="D25" s="298"/>
      <c r="E25" s="299"/>
      <c r="F25" s="299"/>
      <c r="G25" s="299"/>
      <c r="H25" s="299"/>
      <c r="I25" s="299"/>
      <c r="J25" s="300">
        <f>(J21-J14)/11.08/29.4*28</f>
        <v>99163.41606051227</v>
      </c>
      <c r="K25" s="300">
        <f>(K21-K14)/11/29.4*28</f>
        <v>0</v>
      </c>
      <c r="L25" s="300">
        <f>(L21-L14)/11/29.4*28</f>
        <v>0</v>
      </c>
      <c r="M25" s="300">
        <f>(M21-M14)/11/29.4*28</f>
        <v>0</v>
      </c>
      <c r="N25" s="300"/>
      <c r="O25" s="300"/>
      <c r="P25" s="300">
        <f>(P21-P14)/11.08/29.4*28</f>
        <v>3712.4560042358603</v>
      </c>
      <c r="Q25" s="300"/>
      <c r="R25" s="300"/>
      <c r="S25" s="300">
        <f>(S21-S14)/11.08/29.4*28</f>
        <v>9916.34160605123</v>
      </c>
      <c r="T25" s="300">
        <f>(T21-T14)/11.08/29.4*28</f>
        <v>74372.56204538421</v>
      </c>
      <c r="U25" s="300">
        <f>(U21-U14)/11.08/29.4*28</f>
        <v>0</v>
      </c>
      <c r="V25" s="300"/>
      <c r="W25" s="300"/>
    </row>
    <row r="26" spans="3:23" s="256" customFormat="1" ht="15.75" hidden="1">
      <c r="C26" s="297"/>
      <c r="D26" s="298"/>
      <c r="E26" s="299"/>
      <c r="F26" s="299"/>
      <c r="G26" s="299"/>
      <c r="H26" s="299"/>
      <c r="I26" s="299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</row>
    <row r="27" spans="3:23" s="256" customFormat="1" ht="15.75" hidden="1">
      <c r="C27" s="297"/>
      <c r="D27" s="298"/>
      <c r="E27" s="299"/>
      <c r="F27" s="299"/>
      <c r="G27" s="299"/>
      <c r="H27" s="299"/>
      <c r="I27" s="299"/>
      <c r="J27" s="300">
        <f>J25+J23+J21</f>
        <v>1694252.9973366251</v>
      </c>
      <c r="K27" s="300">
        <f>K25+K23+K21</f>
        <v>86905.03476928479</v>
      </c>
      <c r="L27" s="300">
        <f>L25+L23+L21</f>
        <v>0</v>
      </c>
      <c r="M27" s="300">
        <f>M25+M23+M21</f>
        <v>0</v>
      </c>
      <c r="N27" s="300"/>
      <c r="O27" s="300">
        <f>O25+O23+O21</f>
        <v>43894.2636</v>
      </c>
      <c r="P27" s="300">
        <f>P25+P23+P21</f>
        <v>77802.73707548378</v>
      </c>
      <c r="Q27" s="300"/>
      <c r="R27" s="300"/>
      <c r="S27" s="300">
        <f>S25+S23+S21</f>
        <v>169425.29973366254</v>
      </c>
      <c r="T27" s="300">
        <f>T25+T23+T21</f>
        <v>1270689.748002469</v>
      </c>
      <c r="U27" s="300">
        <f>U25+U23+U21</f>
        <v>0</v>
      </c>
      <c r="V27" s="301">
        <f>SUM(J27:U27)</f>
        <v>3342970.0805175253</v>
      </c>
      <c r="W27" s="300"/>
    </row>
    <row r="28" spans="3:23" s="256" customFormat="1" ht="15.75" hidden="1">
      <c r="C28" s="297"/>
      <c r="D28" s="298"/>
      <c r="E28" s="299"/>
      <c r="F28" s="299"/>
      <c r="G28" s="299"/>
      <c r="H28" s="299"/>
      <c r="I28" s="299"/>
      <c r="J28" s="302">
        <f>J27/12/4121/G21</f>
        <v>2.362796940448871</v>
      </c>
      <c r="K28" s="302">
        <f>(K27+L27+M27+O27+P27)/J27</f>
        <v>0.12312330907644377</v>
      </c>
      <c r="L28" s="300"/>
      <c r="M28" s="300"/>
      <c r="N28" s="300"/>
      <c r="O28" s="300"/>
      <c r="P28" s="300"/>
      <c r="Q28" s="300"/>
      <c r="R28" s="300"/>
      <c r="S28" s="302">
        <f>S27/J27</f>
        <v>0.10000000000000002</v>
      </c>
      <c r="T28" s="302">
        <f>T27/J27</f>
        <v>0.7500000000000001</v>
      </c>
      <c r="U28" s="302">
        <f>U27/J27</f>
        <v>0</v>
      </c>
      <c r="V28" s="300"/>
      <c r="W28" s="300"/>
    </row>
    <row r="29" spans="3:23" s="256" customFormat="1" ht="16.5" thickBot="1">
      <c r="C29" s="303"/>
      <c r="D29" s="298"/>
      <c r="E29" s="299"/>
      <c r="F29" s="299"/>
      <c r="G29" s="299"/>
      <c r="H29" s="299"/>
      <c r="I29" s="299"/>
      <c r="J29" s="300"/>
      <c r="K29" s="300"/>
      <c r="L29" s="300"/>
      <c r="M29" s="300"/>
      <c r="N29" s="300"/>
      <c r="O29" s="300"/>
      <c r="P29" s="300"/>
      <c r="Q29" s="300"/>
      <c r="R29" s="300"/>
      <c r="S29" s="300"/>
      <c r="T29" s="300"/>
      <c r="U29" s="300"/>
      <c r="V29" s="300"/>
      <c r="W29" s="300"/>
    </row>
    <row r="30" spans="3:25" ht="107.25" customHeight="1" thickBot="1">
      <c r="C30" s="1827" t="s">
        <v>978</v>
      </c>
      <c r="D30" s="183" t="s">
        <v>190</v>
      </c>
      <c r="E30" s="184" t="s">
        <v>191</v>
      </c>
      <c r="F30" s="184" t="s">
        <v>192</v>
      </c>
      <c r="G30" s="183" t="s">
        <v>193</v>
      </c>
      <c r="H30" s="183" t="s">
        <v>194</v>
      </c>
      <c r="I30" s="183" t="s">
        <v>1261</v>
      </c>
      <c r="J30" s="183" t="s">
        <v>1262</v>
      </c>
      <c r="K30" s="183" t="s">
        <v>1263</v>
      </c>
      <c r="L30" s="272" t="s">
        <v>928</v>
      </c>
      <c r="M30" s="183" t="s">
        <v>1043</v>
      </c>
      <c r="N30" s="183" t="s">
        <v>1265</v>
      </c>
      <c r="O30" s="183" t="s">
        <v>929</v>
      </c>
      <c r="P30" s="183" t="s">
        <v>1266</v>
      </c>
      <c r="Q30" s="184" t="s">
        <v>897</v>
      </c>
      <c r="R30" s="184" t="s">
        <v>898</v>
      </c>
      <c r="S30" s="184" t="s">
        <v>930</v>
      </c>
      <c r="T30" s="183" t="s">
        <v>900</v>
      </c>
      <c r="U30" s="184" t="s">
        <v>931</v>
      </c>
      <c r="V30" s="185" t="s">
        <v>902</v>
      </c>
      <c r="W30" s="186" t="s">
        <v>903</v>
      </c>
      <c r="Y30" s="271"/>
    </row>
    <row r="31" spans="3:23" ht="15.75">
      <c r="C31" s="1827"/>
      <c r="D31" s="189" t="s">
        <v>295</v>
      </c>
      <c r="E31" s="190"/>
      <c r="F31" s="190"/>
      <c r="G31" s="191"/>
      <c r="H31" s="190"/>
      <c r="I31" s="190"/>
      <c r="J31" s="190"/>
      <c r="K31" s="190"/>
      <c r="L31" s="190"/>
      <c r="M31" s="192"/>
      <c r="N31" s="192"/>
      <c r="O31" s="190"/>
      <c r="P31" s="190"/>
      <c r="Q31" s="190"/>
      <c r="R31" s="190"/>
      <c r="S31" s="190"/>
      <c r="T31" s="190"/>
      <c r="U31" s="190"/>
      <c r="V31" s="273"/>
      <c r="W31" s="304"/>
    </row>
    <row r="32" spans="3:24" ht="25.5" customHeight="1">
      <c r="C32" s="1827"/>
      <c r="D32" s="197" t="s">
        <v>979</v>
      </c>
      <c r="E32" s="190">
        <v>12</v>
      </c>
      <c r="F32" s="190">
        <v>4.2</v>
      </c>
      <c r="G32" s="191">
        <v>1</v>
      </c>
      <c r="H32" s="198">
        <f>G$3*F32*X32</f>
        <v>21664.104</v>
      </c>
      <c r="I32" s="190">
        <v>11</v>
      </c>
      <c r="J32" s="198">
        <f>I32*H32*G32</f>
        <v>238305.144</v>
      </c>
      <c r="K32" s="198"/>
      <c r="L32" s="198"/>
      <c r="M32" s="209"/>
      <c r="N32" s="209"/>
      <c r="O32" s="198"/>
      <c r="P32" s="198"/>
      <c r="Q32" s="198"/>
      <c r="R32" s="198">
        <f>(J32+K32+L32+M32+P32+S32+T32+U32)/11/29.4*28</f>
        <v>38170.088</v>
      </c>
      <c r="S32" s="201">
        <f>J32*0.1</f>
        <v>23830.5144</v>
      </c>
      <c r="T32" s="198">
        <f>J32*0.75</f>
        <v>178728.858</v>
      </c>
      <c r="U32" s="198">
        <v>0</v>
      </c>
      <c r="V32" s="202">
        <f>SUM(J32:U32)</f>
        <v>479034.6044</v>
      </c>
      <c r="W32" s="203">
        <f aca="true" t="shared" si="5" ref="W32:W39">V32/G32/12</f>
        <v>39919.55036666667</v>
      </c>
      <c r="X32" s="250">
        <v>1.045</v>
      </c>
    </row>
    <row r="33" spans="3:24" ht="18" customHeight="1">
      <c r="C33" s="1827"/>
      <c r="D33" s="197" t="s">
        <v>980</v>
      </c>
      <c r="E33" s="190">
        <v>8</v>
      </c>
      <c r="F33" s="190">
        <v>2.56</v>
      </c>
      <c r="G33" s="191">
        <v>1</v>
      </c>
      <c r="H33" s="198">
        <f>G$3*F33*X33</f>
        <v>13204.787199999999</v>
      </c>
      <c r="I33" s="190">
        <v>11</v>
      </c>
      <c r="J33" s="198">
        <f>I33*H33*G33</f>
        <v>145252.6592</v>
      </c>
      <c r="K33" s="198"/>
      <c r="L33" s="201"/>
      <c r="M33" s="201"/>
      <c r="N33" s="201"/>
      <c r="O33" s="201"/>
      <c r="P33" s="201"/>
      <c r="Q33" s="201"/>
      <c r="R33" s="198">
        <f>(J33+K33+L33+M33+P33+S33+T33+U33)/11/29.4*28</f>
        <v>23265.577447619045</v>
      </c>
      <c r="S33" s="201">
        <f>J33/G33*0.1</f>
        <v>14525.26592</v>
      </c>
      <c r="T33" s="198">
        <f>J33*0.75</f>
        <v>108939.4944</v>
      </c>
      <c r="U33" s="198">
        <v>0</v>
      </c>
      <c r="V33" s="202">
        <f>SUM(J33:U33)</f>
        <v>291982.99696761905</v>
      </c>
      <c r="W33" s="203">
        <f t="shared" si="5"/>
        <v>24331.916413968254</v>
      </c>
      <c r="X33" s="250">
        <v>1.045</v>
      </c>
    </row>
    <row r="34" spans="3:24" ht="29.25" customHeight="1">
      <c r="C34" s="1827"/>
      <c r="D34" s="197" t="s">
        <v>981</v>
      </c>
      <c r="E34" s="190">
        <v>10</v>
      </c>
      <c r="F34" s="190">
        <v>3.02</v>
      </c>
      <c r="G34" s="1443">
        <v>0</v>
      </c>
      <c r="H34" s="198">
        <f>G$3*F34*X34</f>
        <v>15577.522399999998</v>
      </c>
      <c r="I34" s="190">
        <v>11</v>
      </c>
      <c r="J34" s="198">
        <f>I34*H34*G34</f>
        <v>0</v>
      </c>
      <c r="K34" s="198"/>
      <c r="L34" s="201"/>
      <c r="M34" s="201"/>
      <c r="N34" s="201"/>
      <c r="O34" s="201"/>
      <c r="P34" s="201">
        <f>J34*0.04*1.75</f>
        <v>0</v>
      </c>
      <c r="Q34" s="201"/>
      <c r="R34" s="198">
        <f>(J34+K34+L34+M34+P34+S34+T34+U34)/11/29.4*28</f>
        <v>0</v>
      </c>
      <c r="S34" s="201">
        <f>J34*0.1</f>
        <v>0</v>
      </c>
      <c r="T34" s="198">
        <f>J34*0.75</f>
        <v>0</v>
      </c>
      <c r="U34" s="198">
        <v>0</v>
      </c>
      <c r="V34" s="202">
        <f>SUM(J34:U34)</f>
        <v>0</v>
      </c>
      <c r="W34" s="203" t="e">
        <f t="shared" si="5"/>
        <v>#DIV/0!</v>
      </c>
      <c r="X34" s="250">
        <v>1.045</v>
      </c>
    </row>
    <row r="35" spans="3:24" s="275" customFormat="1" ht="16.5" thickBot="1">
      <c r="C35" s="1827"/>
      <c r="D35" s="276" t="s">
        <v>936</v>
      </c>
      <c r="E35" s="277"/>
      <c r="F35" s="277"/>
      <c r="G35" s="278">
        <f>SUM(G32:G34)</f>
        <v>2</v>
      </c>
      <c r="H35" s="279">
        <f>SUM(H32:H34)</f>
        <v>50446.4136</v>
      </c>
      <c r="I35" s="279"/>
      <c r="J35" s="279">
        <f>SUM(J32:J34)</f>
        <v>383557.80319999997</v>
      </c>
      <c r="K35" s="280">
        <f>SUM(K32:K34)</f>
        <v>0</v>
      </c>
      <c r="L35" s="280">
        <f>SUM(L32:L34)</f>
        <v>0</v>
      </c>
      <c r="M35" s="280">
        <f>SUM(M32:M34)</f>
        <v>0</v>
      </c>
      <c r="N35" s="280"/>
      <c r="O35" s="279">
        <f aca="true" t="shared" si="6" ref="O35:V35">SUM(O32:O34)</f>
        <v>0</v>
      </c>
      <c r="P35" s="279">
        <f t="shared" si="6"/>
        <v>0</v>
      </c>
      <c r="Q35" s="279">
        <f t="shared" si="6"/>
        <v>0</v>
      </c>
      <c r="R35" s="279">
        <f t="shared" si="6"/>
        <v>61435.665447619045</v>
      </c>
      <c r="S35" s="279">
        <f t="shared" si="6"/>
        <v>38355.78032</v>
      </c>
      <c r="T35" s="279">
        <f t="shared" si="6"/>
        <v>287668.3524</v>
      </c>
      <c r="U35" s="279">
        <f t="shared" si="6"/>
        <v>0</v>
      </c>
      <c r="V35" s="279">
        <f t="shared" si="6"/>
        <v>771017.6013676191</v>
      </c>
      <c r="W35" s="279">
        <f t="shared" si="5"/>
        <v>32125.733390317462</v>
      </c>
      <c r="X35" s="250">
        <v>1.045</v>
      </c>
    </row>
    <row r="36" spans="3:24" s="275" customFormat="1" ht="12.75" customHeight="1" hidden="1">
      <c r="C36" s="1827"/>
      <c r="D36" s="276"/>
      <c r="E36" s="277"/>
      <c r="F36" s="277"/>
      <c r="G36" s="278"/>
      <c r="H36" s="278"/>
      <c r="I36" s="278"/>
      <c r="J36" s="280">
        <f>(J33+J32)/11/29.4*28</f>
        <v>33208.46780952381</v>
      </c>
      <c r="K36" s="280">
        <f>(K33+K32)/11/29.4*28</f>
        <v>0</v>
      </c>
      <c r="L36" s="280">
        <f>(L33+L32)/11/29.4*28</f>
        <v>0</v>
      </c>
      <c r="M36" s="280">
        <f>(M33+M32)/11/29.4*28</f>
        <v>0</v>
      </c>
      <c r="N36" s="280"/>
      <c r="O36" s="280"/>
      <c r="P36" s="280">
        <f>(P33+P32)/11/29.4*28</f>
        <v>0</v>
      </c>
      <c r="Q36" s="280"/>
      <c r="R36" s="280"/>
      <c r="S36" s="280">
        <f>(S33+S32)/11/29.4*28</f>
        <v>3320.846780952381</v>
      </c>
      <c r="T36" s="280">
        <f>(T33+T32)/11/29.4*28</f>
        <v>24906.350857142857</v>
      </c>
      <c r="U36" s="198">
        <f>(J36+T36+K36+L36+M36+P36+S36)*0.083</f>
        <v>5099.1602321523815</v>
      </c>
      <c r="V36" s="202"/>
      <c r="W36" s="203" t="e">
        <f t="shared" si="5"/>
        <v>#DIV/0!</v>
      </c>
      <c r="X36" s="250">
        <v>1.045</v>
      </c>
    </row>
    <row r="37" spans="3:24" s="275" customFormat="1" ht="12.75" customHeight="1" hidden="1">
      <c r="C37" s="1827"/>
      <c r="D37" s="276"/>
      <c r="E37" s="277"/>
      <c r="F37" s="277"/>
      <c r="G37" s="278"/>
      <c r="H37" s="278"/>
      <c r="I37" s="278"/>
      <c r="J37" s="280">
        <f>J34/10.85/29.4*35</f>
        <v>0</v>
      </c>
      <c r="K37" s="280">
        <f>K34/10.85/29.4*28</f>
        <v>0</v>
      </c>
      <c r="L37" s="280">
        <f>L34/10.85/29.4*28</f>
        <v>0</v>
      </c>
      <c r="M37" s="280">
        <f>M34/10.85/29.4*28</f>
        <v>0</v>
      </c>
      <c r="N37" s="280"/>
      <c r="O37" s="280"/>
      <c r="P37" s="280">
        <f>P34/10.85/29.4*35</f>
        <v>0</v>
      </c>
      <c r="Q37" s="280"/>
      <c r="R37" s="280"/>
      <c r="S37" s="305">
        <f>S34/10.85/29.4*35</f>
        <v>0</v>
      </c>
      <c r="T37" s="280">
        <f>T34/10.85/29.4*35</f>
        <v>0</v>
      </c>
      <c r="U37" s="198">
        <f>(J37+T37+K37+L37+M37+P37+S37)*0.083</f>
        <v>0</v>
      </c>
      <c r="V37" s="202"/>
      <c r="W37" s="203" t="e">
        <f t="shared" si="5"/>
        <v>#DIV/0!</v>
      </c>
      <c r="X37" s="250">
        <v>1.045</v>
      </c>
    </row>
    <row r="38" spans="3:24" ht="12.75" customHeight="1" hidden="1">
      <c r="C38" s="1827"/>
      <c r="D38" s="197"/>
      <c r="E38" s="190"/>
      <c r="F38" s="190"/>
      <c r="G38" s="191"/>
      <c r="H38" s="213"/>
      <c r="I38" s="199"/>
      <c r="J38" s="198">
        <f>J37+J36+J35</f>
        <v>416766.27100952377</v>
      </c>
      <c r="K38" s="198"/>
      <c r="L38" s="306"/>
      <c r="M38" s="201"/>
      <c r="N38" s="201"/>
      <c r="O38" s="198">
        <f>O37+O36+O35</f>
        <v>0</v>
      </c>
      <c r="P38" s="198">
        <f>P37+P36+P35</f>
        <v>0</v>
      </c>
      <c r="Q38" s="198"/>
      <c r="R38" s="198"/>
      <c r="S38" s="198">
        <f>S37+S36+S35</f>
        <v>41676.62710095238</v>
      </c>
      <c r="T38" s="198">
        <f>T37+T36+T35</f>
        <v>312574.70325714286</v>
      </c>
      <c r="U38" s="198">
        <f>(J38+T38+K38+L38+M38+P38+S38)*0.083</f>
        <v>63994.46091351239</v>
      </c>
      <c r="V38" s="202">
        <f>SUM(J38:U38)</f>
        <v>835012.0622811314</v>
      </c>
      <c r="W38" s="203" t="e">
        <f t="shared" si="5"/>
        <v>#DIV/0!</v>
      </c>
      <c r="X38" s="250">
        <v>1.045</v>
      </c>
    </row>
    <row r="39" spans="3:24" ht="12.75" customHeight="1" hidden="1">
      <c r="C39" s="1827"/>
      <c r="D39" s="197"/>
      <c r="E39" s="190"/>
      <c r="F39" s="190"/>
      <c r="G39" s="191"/>
      <c r="H39" s="213"/>
      <c r="I39" s="199"/>
      <c r="J39" s="198"/>
      <c r="K39" s="198"/>
      <c r="L39" s="306"/>
      <c r="M39" s="201"/>
      <c r="N39" s="201"/>
      <c r="O39" s="201"/>
      <c r="P39" s="201"/>
      <c r="Q39" s="201"/>
      <c r="R39" s="198"/>
      <c r="S39" s="201"/>
      <c r="T39" s="198"/>
      <c r="U39" s="198"/>
      <c r="V39" s="202"/>
      <c r="W39" s="203" t="e">
        <f t="shared" si="5"/>
        <v>#DIV/0!</v>
      </c>
      <c r="X39" s="250">
        <v>1.045</v>
      </c>
    </row>
    <row r="40" spans="3:24" ht="32.25" thickBot="1">
      <c r="C40" s="1827"/>
      <c r="D40" s="189" t="s">
        <v>294</v>
      </c>
      <c r="E40" s="190"/>
      <c r="F40" s="190"/>
      <c r="G40" s="191"/>
      <c r="H40" s="190"/>
      <c r="I40" s="190"/>
      <c r="J40" s="198"/>
      <c r="K40" s="198"/>
      <c r="L40" s="201"/>
      <c r="M40" s="201"/>
      <c r="N40" s="201"/>
      <c r="O40" s="201"/>
      <c r="P40" s="201"/>
      <c r="Q40" s="201"/>
      <c r="R40" s="198"/>
      <c r="S40" s="201"/>
      <c r="T40" s="198"/>
      <c r="U40" s="198"/>
      <c r="V40" s="202"/>
      <c r="W40" s="203"/>
      <c r="X40" s="250">
        <v>1.045</v>
      </c>
    </row>
    <row r="41" spans="3:24" ht="48" thickBot="1">
      <c r="C41" s="1827"/>
      <c r="D41" s="197" t="s">
        <v>939</v>
      </c>
      <c r="E41" s="190">
        <v>4</v>
      </c>
      <c r="F41" s="190">
        <v>1.4</v>
      </c>
      <c r="G41" s="191">
        <v>3</v>
      </c>
      <c r="H41" s="198">
        <f aca="true" t="shared" si="7" ref="H41:H48">G$3*F41*X41</f>
        <v>7221.3679999999995</v>
      </c>
      <c r="I41" s="199">
        <v>11</v>
      </c>
      <c r="J41" s="198">
        <f aca="true" t="shared" si="8" ref="J41:J48">I41*H41*G41</f>
        <v>238305.14399999997</v>
      </c>
      <c r="K41" s="198"/>
      <c r="L41" s="201"/>
      <c r="M41" s="201"/>
      <c r="N41" s="201"/>
      <c r="O41" s="201">
        <f>222*46.26*0.5*G41*X41</f>
        <v>16097.786099999998</v>
      </c>
      <c r="P41" s="201">
        <f>J41*0.04*1.75</f>
        <v>16681.36008</v>
      </c>
      <c r="Q41" s="201">
        <f>R41/28*7</f>
        <v>10041.140266666665</v>
      </c>
      <c r="R41" s="198">
        <f>(J41+K41+L41+M41+P41+S41+T41+U41)/(330*12/365)/29.4*28</f>
        <v>40164.56106666666</v>
      </c>
      <c r="S41" s="201">
        <f>J41*0.1</f>
        <v>23830.5144</v>
      </c>
      <c r="T41" s="198">
        <f aca="true" t="shared" si="9" ref="T41:T48">J41*0.75</f>
        <v>178728.85799999998</v>
      </c>
      <c r="U41" s="198">
        <v>0</v>
      </c>
      <c r="V41" s="202">
        <f aca="true" t="shared" si="10" ref="V41:V48">SUM(J41:U41)</f>
        <v>523849.3639133333</v>
      </c>
      <c r="W41" s="203">
        <f aca="true" t="shared" si="11" ref="W41:W48">V41/G41/12</f>
        <v>14551.371219814813</v>
      </c>
      <c r="X41" s="250">
        <v>1.045</v>
      </c>
    </row>
    <row r="42" spans="3:24" ht="15.75">
      <c r="C42" s="1827"/>
      <c r="D42" s="197" t="s">
        <v>982</v>
      </c>
      <c r="E42" s="190">
        <v>2</v>
      </c>
      <c r="F42" s="190">
        <v>1.12</v>
      </c>
      <c r="G42" s="191">
        <v>1</v>
      </c>
      <c r="H42" s="198">
        <f t="shared" si="7"/>
        <v>5777.0944</v>
      </c>
      <c r="I42" s="199">
        <v>11</v>
      </c>
      <c r="J42" s="198">
        <f t="shared" si="8"/>
        <v>63548.0384</v>
      </c>
      <c r="K42" s="198"/>
      <c r="L42" s="201"/>
      <c r="M42" s="201"/>
      <c r="N42" s="201"/>
      <c r="O42" s="201">
        <f>227*46.26*0.5*G42*X42</f>
        <v>5486.78295</v>
      </c>
      <c r="P42" s="201">
        <f>J42*0.04*1.75</f>
        <v>4448.362687999999</v>
      </c>
      <c r="Q42" s="201"/>
      <c r="R42" s="198">
        <f>(J42+K42+L42+M42+P42+S42+T42+U42)/(337*12/365)/29.4*28</f>
        <v>10488.075293372898</v>
      </c>
      <c r="S42" s="201">
        <f>J42*0.1</f>
        <v>6354.8038400000005</v>
      </c>
      <c r="T42" s="198">
        <f t="shared" si="9"/>
        <v>47661.0288</v>
      </c>
      <c r="U42" s="198">
        <v>0</v>
      </c>
      <c r="V42" s="202">
        <f t="shared" si="10"/>
        <v>137987.0919713729</v>
      </c>
      <c r="W42" s="203">
        <f t="shared" si="11"/>
        <v>11498.92433094774</v>
      </c>
      <c r="X42" s="250">
        <v>1.045</v>
      </c>
    </row>
    <row r="43" spans="3:24" ht="31.5">
      <c r="C43" s="1827"/>
      <c r="D43" s="197" t="s">
        <v>983</v>
      </c>
      <c r="E43" s="190">
        <v>4</v>
      </c>
      <c r="F43" s="190">
        <v>1.74</v>
      </c>
      <c r="G43" s="251">
        <v>6</v>
      </c>
      <c r="H43" s="198">
        <f t="shared" si="7"/>
        <v>8975.128799999999</v>
      </c>
      <c r="I43" s="199">
        <v>11</v>
      </c>
      <c r="J43" s="198">
        <f t="shared" si="8"/>
        <v>592358.5007999998</v>
      </c>
      <c r="K43" s="198">
        <f>(J43/G43*0.15*1.75*4)+(J43/G43*0.1*1.75*1)+(J43/G43*0.25*1.75*1)</f>
        <v>164132.66792999994</v>
      </c>
      <c r="L43" s="201">
        <f>J43/3*0.4*1.75</f>
        <v>138216.98351999995</v>
      </c>
      <c r="M43" s="201">
        <f>52.3*12*14</f>
        <v>8786.399999999998</v>
      </c>
      <c r="N43" s="201"/>
      <c r="O43" s="201">
        <f>222*46.26*0.5*G43*X43</f>
        <v>32195.572199999995</v>
      </c>
      <c r="P43" s="201">
        <f>J43*0.04*1.75</f>
        <v>41465.09505599999</v>
      </c>
      <c r="Q43" s="201">
        <f>R43/28*7</f>
        <v>31679.15698853354</v>
      </c>
      <c r="R43" s="198">
        <f>(J43+K43+L43+M43+P43+S43+T43+U43)/(330*12/365)/29.4*28</f>
        <v>126716.62795413416</v>
      </c>
      <c r="S43" s="201">
        <f>J43/G43*0.05*1+J43/G43*0.1*5</f>
        <v>54299.52923999999</v>
      </c>
      <c r="T43" s="198">
        <f t="shared" si="9"/>
        <v>444268.87559999985</v>
      </c>
      <c r="U43" s="198">
        <v>0</v>
      </c>
      <c r="V43" s="202">
        <f t="shared" si="10"/>
        <v>1634119.4092886674</v>
      </c>
      <c r="W43" s="203">
        <f t="shared" si="11"/>
        <v>22696.102906787044</v>
      </c>
      <c r="X43" s="250">
        <v>1.045</v>
      </c>
    </row>
    <row r="44" spans="3:24" ht="15.75">
      <c r="C44" s="1827"/>
      <c r="D44" s="197" t="s">
        <v>984</v>
      </c>
      <c r="E44" s="190">
        <v>4</v>
      </c>
      <c r="F44" s="190">
        <v>1.74</v>
      </c>
      <c r="G44" s="191">
        <v>1</v>
      </c>
      <c r="H44" s="198">
        <f t="shared" si="7"/>
        <v>8975.128799999999</v>
      </c>
      <c r="I44" s="199">
        <v>11</v>
      </c>
      <c r="J44" s="198">
        <f t="shared" si="8"/>
        <v>98726.41679999998</v>
      </c>
      <c r="K44" s="198"/>
      <c r="L44" s="201"/>
      <c r="M44" s="201"/>
      <c r="N44" s="201"/>
      <c r="O44" s="201">
        <f>222*46.26*0.5*G44*X44</f>
        <v>5365.9286999999995</v>
      </c>
      <c r="P44" s="201">
        <f>J44*0.08*1.75</f>
        <v>13821.698351999998</v>
      </c>
      <c r="Q44" s="201">
        <f>R44/28*7</f>
        <v>4203.233269365077</v>
      </c>
      <c r="R44" s="198">
        <f>(J44+K44+L44+M44+P44+S44+T44+U44)/(330*12/365)/29.4*28</f>
        <v>16812.933077460308</v>
      </c>
      <c r="S44" s="201">
        <f>J44*0.05</f>
        <v>4936.320839999999</v>
      </c>
      <c r="T44" s="198">
        <f t="shared" si="9"/>
        <v>74044.81259999998</v>
      </c>
      <c r="U44" s="198">
        <v>0</v>
      </c>
      <c r="V44" s="202">
        <f t="shared" si="10"/>
        <v>217911.34363882535</v>
      </c>
      <c r="W44" s="203">
        <f t="shared" si="11"/>
        <v>18159.27863656878</v>
      </c>
      <c r="X44" s="250">
        <v>1.045</v>
      </c>
    </row>
    <row r="45" spans="3:24" ht="18.75" customHeight="1">
      <c r="C45" s="1827"/>
      <c r="D45" s="197" t="s">
        <v>985</v>
      </c>
      <c r="E45" s="190">
        <v>5</v>
      </c>
      <c r="F45" s="190">
        <v>1.94</v>
      </c>
      <c r="G45" s="191">
        <v>1</v>
      </c>
      <c r="H45" s="198">
        <f t="shared" si="7"/>
        <v>10006.7528</v>
      </c>
      <c r="I45" s="199">
        <v>11</v>
      </c>
      <c r="J45" s="198">
        <f t="shared" si="8"/>
        <v>110074.28080000001</v>
      </c>
      <c r="K45" s="307"/>
      <c r="L45" s="201"/>
      <c r="M45" s="201"/>
      <c r="N45" s="201"/>
      <c r="O45" s="201">
        <f>222*46.26*0.5*G45*X45</f>
        <v>5365.9286999999995</v>
      </c>
      <c r="P45" s="201">
        <f>J45*0.08*1.75</f>
        <v>15410.399312000003</v>
      </c>
      <c r="Q45" s="201">
        <f>R45/28*7</f>
        <v>4807.146095423281</v>
      </c>
      <c r="R45" s="198">
        <f>(J45+K45+L45+M45+P45+S45+T45+U45)/(330*12/365)/29.4*28</f>
        <v>19228.584381693123</v>
      </c>
      <c r="S45" s="201">
        <f>J45*0.1</f>
        <v>11007.428080000002</v>
      </c>
      <c r="T45" s="198">
        <f t="shared" si="9"/>
        <v>82555.7106</v>
      </c>
      <c r="U45" s="198">
        <v>0</v>
      </c>
      <c r="V45" s="202">
        <f t="shared" si="10"/>
        <v>248449.47796911647</v>
      </c>
      <c r="W45" s="203">
        <f t="shared" si="11"/>
        <v>20704.12316409304</v>
      </c>
      <c r="X45" s="250">
        <v>1.045</v>
      </c>
    </row>
    <row r="46" spans="3:24" ht="15.75">
      <c r="C46" s="1827"/>
      <c r="D46" s="197" t="s">
        <v>986</v>
      </c>
      <c r="E46" s="190">
        <v>5</v>
      </c>
      <c r="F46" s="190">
        <v>1.94</v>
      </c>
      <c r="G46" s="191">
        <v>1</v>
      </c>
      <c r="H46" s="198">
        <f t="shared" si="7"/>
        <v>10006.7528</v>
      </c>
      <c r="I46" s="199">
        <v>11</v>
      </c>
      <c r="J46" s="198">
        <f t="shared" si="8"/>
        <v>110074.28080000001</v>
      </c>
      <c r="K46" s="307"/>
      <c r="L46" s="201"/>
      <c r="M46" s="201"/>
      <c r="N46" s="201"/>
      <c r="O46" s="201"/>
      <c r="P46" s="201">
        <f>J46*0.04*1.75</f>
        <v>7705.199656000002</v>
      </c>
      <c r="Q46" s="201"/>
      <c r="R46" s="198">
        <f>(J46+K46+L46+M46+P46+S46+T46+U46)/(337*12/365)/29.4*28</f>
        <v>18166.84470459234</v>
      </c>
      <c r="S46" s="201">
        <f>J46*0.1</f>
        <v>11007.428080000002</v>
      </c>
      <c r="T46" s="198">
        <f t="shared" si="9"/>
        <v>82555.7106</v>
      </c>
      <c r="U46" s="198">
        <v>0</v>
      </c>
      <c r="V46" s="202">
        <f t="shared" si="10"/>
        <v>229509.46384059236</v>
      </c>
      <c r="W46" s="203">
        <f t="shared" si="11"/>
        <v>19125.788653382697</v>
      </c>
      <c r="X46" s="250">
        <v>1.045</v>
      </c>
    </row>
    <row r="47" spans="3:24" ht="31.5">
      <c r="C47" s="1827"/>
      <c r="D47" s="197" t="s">
        <v>976</v>
      </c>
      <c r="E47" s="190">
        <v>2</v>
      </c>
      <c r="F47" s="190">
        <v>1.12</v>
      </c>
      <c r="G47" s="1443">
        <v>0</v>
      </c>
      <c r="H47" s="198">
        <f t="shared" si="7"/>
        <v>5777.0944</v>
      </c>
      <c r="I47" s="199">
        <v>11</v>
      </c>
      <c r="J47" s="198">
        <f t="shared" si="8"/>
        <v>0</v>
      </c>
      <c r="K47" s="307"/>
      <c r="L47" s="201"/>
      <c r="M47" s="201"/>
      <c r="N47" s="201"/>
      <c r="O47" s="201"/>
      <c r="P47" s="307"/>
      <c r="Q47" s="201"/>
      <c r="R47" s="198">
        <f>(J47+K47+L47+M47+P47+S47+T47+U47)/11/29.4*28</f>
        <v>0</v>
      </c>
      <c r="S47" s="201">
        <f>J47*0.1</f>
        <v>0</v>
      </c>
      <c r="T47" s="198">
        <f t="shared" si="9"/>
        <v>0</v>
      </c>
      <c r="U47" s="198">
        <v>0</v>
      </c>
      <c r="V47" s="202">
        <f t="shared" si="10"/>
        <v>0</v>
      </c>
      <c r="W47" s="203" t="e">
        <f t="shared" si="11"/>
        <v>#DIV/0!</v>
      </c>
      <c r="X47" s="250">
        <v>1.045</v>
      </c>
    </row>
    <row r="48" spans="3:24" ht="15.75">
      <c r="C48" s="1827"/>
      <c r="D48" s="308" t="s">
        <v>987</v>
      </c>
      <c r="E48" s="190">
        <v>1</v>
      </c>
      <c r="F48" s="190">
        <v>1</v>
      </c>
      <c r="G48" s="1443">
        <v>0</v>
      </c>
      <c r="H48" s="198">
        <f t="shared" si="7"/>
        <v>5158.12</v>
      </c>
      <c r="I48" s="199">
        <v>11</v>
      </c>
      <c r="J48" s="198">
        <f t="shared" si="8"/>
        <v>0</v>
      </c>
      <c r="K48" s="198"/>
      <c r="L48" s="306">
        <f>J48/3*0.4*1.75</f>
        <v>0</v>
      </c>
      <c r="M48" s="201">
        <f>30.05*24*14</f>
        <v>10096.800000000001</v>
      </c>
      <c r="N48" s="201">
        <f>30.05*8*20%*(4-3)*14</f>
        <v>673.1200000000001</v>
      </c>
      <c r="O48" s="201"/>
      <c r="P48" s="201">
        <f>J48*0.04*1.75</f>
        <v>0</v>
      </c>
      <c r="Q48" s="309"/>
      <c r="R48" s="198">
        <v>0</v>
      </c>
      <c r="S48" s="201">
        <v>0</v>
      </c>
      <c r="T48" s="198">
        <f t="shared" si="9"/>
        <v>0</v>
      </c>
      <c r="U48" s="198">
        <v>0</v>
      </c>
      <c r="V48" s="202">
        <f t="shared" si="10"/>
        <v>10769.920000000002</v>
      </c>
      <c r="W48" s="203" t="e">
        <f t="shared" si="11"/>
        <v>#DIV/0!</v>
      </c>
      <c r="X48" s="250">
        <v>1.045</v>
      </c>
    </row>
    <row r="49" spans="3:24" ht="16.5" thickBot="1">
      <c r="C49" s="1827"/>
      <c r="D49" s="310"/>
      <c r="E49" s="215"/>
      <c r="F49" s="215"/>
      <c r="G49" s="216">
        <f>SUM(G41:G48)</f>
        <v>13</v>
      </c>
      <c r="H49" s="311"/>
      <c r="I49" s="218"/>
      <c r="J49" s="217"/>
      <c r="K49" s="217"/>
      <c r="L49" s="312"/>
      <c r="M49" s="219"/>
      <c r="N49" s="219"/>
      <c r="O49" s="219"/>
      <c r="P49" s="219"/>
      <c r="Q49" s="313"/>
      <c r="R49" s="217"/>
      <c r="S49" s="219"/>
      <c r="T49" s="217"/>
      <c r="U49" s="217"/>
      <c r="V49" s="220">
        <f>SUM(V41:V48)</f>
        <v>3002596.0706219072</v>
      </c>
      <c r="W49" s="221"/>
      <c r="X49" s="250">
        <v>1.045</v>
      </c>
    </row>
    <row r="50" spans="3:24" ht="27" customHeight="1" thickBot="1">
      <c r="C50" s="314"/>
      <c r="D50" s="315" t="s">
        <v>988</v>
      </c>
      <c r="E50" s="316"/>
      <c r="F50" s="316"/>
      <c r="G50" s="316">
        <f aca="true" t="shared" si="12" ref="G50:V50">G48+G47+G46+G45+G44+G43+G42+G41+G35</f>
        <v>15</v>
      </c>
      <c r="H50" s="317">
        <f t="shared" si="12"/>
        <v>112343.8536</v>
      </c>
      <c r="I50" s="316">
        <f t="shared" si="12"/>
        <v>88</v>
      </c>
      <c r="J50" s="317">
        <f t="shared" si="12"/>
        <v>1596644.4647999997</v>
      </c>
      <c r="K50" s="317">
        <f t="shared" si="12"/>
        <v>164132.66792999994</v>
      </c>
      <c r="L50" s="317">
        <f t="shared" si="12"/>
        <v>138216.98351999995</v>
      </c>
      <c r="M50" s="317">
        <f t="shared" si="12"/>
        <v>18883.199999999997</v>
      </c>
      <c r="N50" s="317">
        <f t="shared" si="12"/>
        <v>673.1200000000001</v>
      </c>
      <c r="O50" s="317">
        <f t="shared" si="12"/>
        <v>64511.998649999994</v>
      </c>
      <c r="P50" s="317">
        <f t="shared" si="12"/>
        <v>99532.115144</v>
      </c>
      <c r="Q50" s="317">
        <f t="shared" si="12"/>
        <v>50730.67661998856</v>
      </c>
      <c r="R50" s="317">
        <f t="shared" si="12"/>
        <v>293013.29192553856</v>
      </c>
      <c r="S50" s="317">
        <f t="shared" si="12"/>
        <v>149791.8048</v>
      </c>
      <c r="T50" s="317">
        <f t="shared" si="12"/>
        <v>1197483.3485999997</v>
      </c>
      <c r="U50" s="317">
        <f t="shared" si="12"/>
        <v>0</v>
      </c>
      <c r="V50" s="317">
        <f t="shared" si="12"/>
        <v>3773613.6719895266</v>
      </c>
      <c r="W50" s="318">
        <f>V50/G50/12</f>
        <v>20964.520399941815</v>
      </c>
      <c r="X50" s="250">
        <v>1.045</v>
      </c>
    </row>
    <row r="51" spans="3:24" ht="31.5" customHeight="1" thickBot="1">
      <c r="C51" s="319"/>
      <c r="D51" s="1830" t="s">
        <v>989</v>
      </c>
      <c r="E51" s="1830"/>
      <c r="F51" s="1830"/>
      <c r="G51" s="1830"/>
      <c r="H51" s="1830"/>
      <c r="I51" s="1830"/>
      <c r="J51" s="1830"/>
      <c r="K51" s="1830"/>
      <c r="L51" s="1830"/>
      <c r="M51" s="1830"/>
      <c r="N51" s="1830"/>
      <c r="O51" s="1830"/>
      <c r="P51" s="1830"/>
      <c r="Q51" s="1830"/>
      <c r="R51" s="1830"/>
      <c r="S51" s="1830"/>
      <c r="T51" s="1830"/>
      <c r="U51" s="1830"/>
      <c r="V51" s="1830"/>
      <c r="W51" s="1830"/>
      <c r="X51" s="250">
        <v>1.045</v>
      </c>
    </row>
    <row r="52" spans="3:24" ht="29.25" customHeight="1" thickBot="1">
      <c r="C52" s="319"/>
      <c r="D52" s="1824" t="s">
        <v>990</v>
      </c>
      <c r="E52" s="1824"/>
      <c r="F52" s="1824"/>
      <c r="G52" s="1824"/>
      <c r="H52" s="1824"/>
      <c r="I52" s="1824"/>
      <c r="J52" s="1824"/>
      <c r="K52" s="1824"/>
      <c r="L52" s="1824"/>
      <c r="M52" s="1824"/>
      <c r="N52" s="1824"/>
      <c r="O52" s="1824"/>
      <c r="P52" s="1824"/>
      <c r="Q52" s="1824"/>
      <c r="R52" s="1824"/>
      <c r="S52" s="1824"/>
      <c r="T52" s="1824"/>
      <c r="U52" s="1824"/>
      <c r="V52" s="1824"/>
      <c r="W52" s="1824"/>
      <c r="X52" s="250">
        <v>1.045</v>
      </c>
    </row>
    <row r="53" spans="1:25" ht="131.25" hidden="1">
      <c r="A53" s="212"/>
      <c r="B53" s="212"/>
      <c r="C53" s="319"/>
      <c r="D53" s="320" t="s">
        <v>190</v>
      </c>
      <c r="E53" s="184" t="s">
        <v>191</v>
      </c>
      <c r="F53" s="184" t="s">
        <v>192</v>
      </c>
      <c r="G53" s="183" t="s">
        <v>193</v>
      </c>
      <c r="H53" s="183" t="s">
        <v>194</v>
      </c>
      <c r="I53" s="183" t="s">
        <v>1261</v>
      </c>
      <c r="J53" s="183" t="s">
        <v>1262</v>
      </c>
      <c r="K53" s="183" t="s">
        <v>1263</v>
      </c>
      <c r="L53" s="272" t="s">
        <v>928</v>
      </c>
      <c r="M53" s="183" t="s">
        <v>296</v>
      </c>
      <c r="N53" s="183" t="s">
        <v>1265</v>
      </c>
      <c r="O53" s="183" t="s">
        <v>929</v>
      </c>
      <c r="P53" s="183" t="s">
        <v>1266</v>
      </c>
      <c r="Q53" s="184" t="s">
        <v>897</v>
      </c>
      <c r="R53" s="184" t="s">
        <v>898</v>
      </c>
      <c r="S53" s="184" t="s">
        <v>930</v>
      </c>
      <c r="T53" s="183" t="s">
        <v>900</v>
      </c>
      <c r="U53" s="184" t="s">
        <v>931</v>
      </c>
      <c r="V53" s="185" t="s">
        <v>902</v>
      </c>
      <c r="W53" s="186" t="s">
        <v>903</v>
      </c>
      <c r="X53" s="250">
        <v>1.045</v>
      </c>
      <c r="Y53" s="188">
        <f>V43/6*2</f>
        <v>544706.4697628891</v>
      </c>
    </row>
    <row r="54" spans="1:25" ht="31.5" hidden="1">
      <c r="A54" s="212"/>
      <c r="B54" s="212"/>
      <c r="C54" s="319"/>
      <c r="D54" s="321" t="s">
        <v>297</v>
      </c>
      <c r="E54" s="190"/>
      <c r="F54" s="190"/>
      <c r="G54" s="191"/>
      <c r="H54" s="322"/>
      <c r="I54" s="199"/>
      <c r="J54" s="323"/>
      <c r="K54" s="323"/>
      <c r="L54" s="324"/>
      <c r="M54" s="325"/>
      <c r="N54" s="325"/>
      <c r="O54" s="325"/>
      <c r="P54" s="325"/>
      <c r="Q54" s="326"/>
      <c r="R54" s="323"/>
      <c r="S54" s="325"/>
      <c r="T54" s="323"/>
      <c r="U54" s="323"/>
      <c r="V54" s="327"/>
      <c r="W54" s="328"/>
      <c r="X54" s="250">
        <v>1.045</v>
      </c>
      <c r="Y54" s="271">
        <f>Y53+V93</f>
        <v>1110010.846600974</v>
      </c>
    </row>
    <row r="55" spans="1:24" ht="31.5" hidden="1">
      <c r="A55" s="212"/>
      <c r="B55" s="212"/>
      <c r="C55" s="319"/>
      <c r="D55" s="329" t="s">
        <v>298</v>
      </c>
      <c r="E55" s="190">
        <v>4</v>
      </c>
      <c r="F55" s="190">
        <v>1.74</v>
      </c>
      <c r="G55" s="330"/>
      <c r="H55" s="213">
        <f>4393*F55*X55/164.25</f>
        <v>48.63191415525114</v>
      </c>
      <c r="I55" s="199">
        <f>(247-((28-8)))*8*G55</f>
        <v>0</v>
      </c>
      <c r="J55" s="198">
        <f>H55*I55</f>
        <v>0</v>
      </c>
      <c r="K55" s="198"/>
      <c r="L55" s="208"/>
      <c r="M55" s="198"/>
      <c r="N55" s="198"/>
      <c r="O55" s="198"/>
      <c r="P55" s="209"/>
      <c r="Q55" s="209"/>
      <c r="R55" s="198" t="e">
        <f>(J55+K55+L55+M55+P55+S55+T55+U55)/(337*12/365)/29.4*28</f>
        <v>#DIV/0!</v>
      </c>
      <c r="S55" s="201" t="e">
        <f>J55/G55*0.05*2+J55/G55*0.1*2</f>
        <v>#DIV/0!</v>
      </c>
      <c r="T55" s="198">
        <f>J55*0.75</f>
        <v>0</v>
      </c>
      <c r="U55" s="198" t="e">
        <f>((J55+T55+K55+L55+M55+P55)/4+J55/G55*0.05)*0.083*2+((J55+T55+K55+L55+M55+P55)/4+J55/G55*0.1)*0.108*2</f>
        <v>#DIV/0!</v>
      </c>
      <c r="V55" s="202"/>
      <c r="W55" s="203" t="e">
        <f>V55/12/G55</f>
        <v>#DIV/0!</v>
      </c>
      <c r="X55" s="250">
        <v>1.045</v>
      </c>
    </row>
    <row r="56" spans="1:24" s="275" customFormat="1" ht="15.75" hidden="1">
      <c r="A56" s="331"/>
      <c r="B56" s="331"/>
      <c r="C56" s="319"/>
      <c r="D56" s="332" t="s">
        <v>936</v>
      </c>
      <c r="E56" s="333"/>
      <c r="F56" s="333"/>
      <c r="G56" s="334">
        <f aca="true" t="shared" si="13" ref="G56:V56">G55</f>
        <v>0</v>
      </c>
      <c r="H56" s="334">
        <f t="shared" si="13"/>
        <v>48.63191415525114</v>
      </c>
      <c r="I56" s="334">
        <f t="shared" si="13"/>
        <v>0</v>
      </c>
      <c r="J56" s="335">
        <f t="shared" si="13"/>
        <v>0</v>
      </c>
      <c r="K56" s="335">
        <f t="shared" si="13"/>
        <v>0</v>
      </c>
      <c r="L56" s="335">
        <f t="shared" si="13"/>
        <v>0</v>
      </c>
      <c r="M56" s="335">
        <f t="shared" si="13"/>
        <v>0</v>
      </c>
      <c r="N56" s="335">
        <f t="shared" si="13"/>
        <v>0</v>
      </c>
      <c r="O56" s="335">
        <f t="shared" si="13"/>
        <v>0</v>
      </c>
      <c r="P56" s="335">
        <f t="shared" si="13"/>
        <v>0</v>
      </c>
      <c r="Q56" s="335">
        <f t="shared" si="13"/>
        <v>0</v>
      </c>
      <c r="R56" s="335" t="e">
        <f t="shared" si="13"/>
        <v>#DIV/0!</v>
      </c>
      <c r="S56" s="335" t="e">
        <f t="shared" si="13"/>
        <v>#DIV/0!</v>
      </c>
      <c r="T56" s="335">
        <f t="shared" si="13"/>
        <v>0</v>
      </c>
      <c r="U56" s="335" t="e">
        <f t="shared" si="13"/>
        <v>#DIV/0!</v>
      </c>
      <c r="V56" s="335">
        <f t="shared" si="13"/>
        <v>0</v>
      </c>
      <c r="W56" s="254" t="e">
        <f>V56/12/G56</f>
        <v>#DIV/0!</v>
      </c>
      <c r="X56" s="250">
        <v>1.045</v>
      </c>
    </row>
    <row r="57" spans="1:24" s="256" customFormat="1" ht="15.75" hidden="1">
      <c r="A57" s="253"/>
      <c r="B57" s="253"/>
      <c r="C57" s="336"/>
      <c r="D57" s="295"/>
      <c r="E57" s="295"/>
      <c r="F57" s="295"/>
      <c r="G57" s="295"/>
      <c r="H57" s="295"/>
      <c r="I57" s="295"/>
      <c r="J57" s="296"/>
      <c r="K57" s="296"/>
      <c r="L57" s="296"/>
      <c r="M57" s="296"/>
      <c r="N57" s="296"/>
      <c r="O57" s="296"/>
      <c r="P57" s="296"/>
      <c r="Q57" s="296"/>
      <c r="R57" s="296"/>
      <c r="S57" s="296"/>
      <c r="T57" s="296"/>
      <c r="U57" s="296"/>
      <c r="V57" s="296"/>
      <c r="W57" s="296"/>
      <c r="X57" s="250">
        <v>1.045</v>
      </c>
    </row>
    <row r="58" spans="1:24" s="256" customFormat="1" ht="15.75" hidden="1">
      <c r="A58" s="253"/>
      <c r="B58" s="253"/>
      <c r="C58" s="336"/>
      <c r="D58" s="295"/>
      <c r="E58" s="295"/>
      <c r="F58" s="295"/>
      <c r="G58" s="295"/>
      <c r="H58" s="295"/>
      <c r="I58" s="295"/>
      <c r="J58" s="296">
        <f>(J45+J44+J43+J41+J34)/10.85/29.4*35</f>
        <v>114051.38714066269</v>
      </c>
      <c r="K58" s="296">
        <f>(K45+K44+K43+K41+K34)/10.85/29.4*35</f>
        <v>18008.850990783405</v>
      </c>
      <c r="L58" s="296">
        <f>(L45+L44+L43+L41+L34)/10.85/29.4*35</f>
        <v>15165.348202764973</v>
      </c>
      <c r="M58" s="296">
        <f>(M45+M44+M43+M41+M34)/10.85/29.4*35</f>
        <v>964.0552995391704</v>
      </c>
      <c r="N58" s="296"/>
      <c r="O58" s="296"/>
      <c r="P58" s="296">
        <f>(P45+P44+P43+P41+P34)/10.85/29.4*35</f>
        <v>9587.289093701997</v>
      </c>
      <c r="Q58" s="296"/>
      <c r="R58" s="296"/>
      <c r="S58" s="296">
        <f>(S45+S44+S43+S41+S34)/10.85/29.4*35</f>
        <v>10321.899556725913</v>
      </c>
      <c r="T58" s="296">
        <f>(T45+T44+T43+T41+T34)/10.85/29.4*35</f>
        <v>85538.54035549703</v>
      </c>
      <c r="U58" s="296">
        <f>(U45+U44+U43+U41+U34)/10.85/29.4*35</f>
        <v>0</v>
      </c>
      <c r="V58" s="300"/>
      <c r="W58" s="300"/>
      <c r="X58" s="250">
        <v>1.045</v>
      </c>
    </row>
    <row r="59" spans="1:24" s="256" customFormat="1" ht="15.75" hidden="1">
      <c r="A59" s="253"/>
      <c r="B59" s="253"/>
      <c r="C59" s="336"/>
      <c r="D59" s="295"/>
      <c r="E59" s="295"/>
      <c r="F59" s="295"/>
      <c r="G59" s="295"/>
      <c r="H59" s="295"/>
      <c r="I59" s="295"/>
      <c r="J59" s="296">
        <f>(J55+J48+J47+J46+J42+J33+J32)/11.08/29.4*28</f>
        <v>47892.39491146639</v>
      </c>
      <c r="K59" s="296">
        <f>(K55+K48+K47+K46+K42+K33+K32)/11.08/29.4*28</f>
        <v>0</v>
      </c>
      <c r="L59" s="296">
        <f>(L55+L48+L47+L46+L42+L33+L32)/11.08/29.4*28</f>
        <v>0</v>
      </c>
      <c r="M59" s="296">
        <f>(M55+M48+M47+M46+M42+M33+M32)/11.08/29.4*28</f>
        <v>867.8700361010831</v>
      </c>
      <c r="N59" s="296"/>
      <c r="O59" s="296"/>
      <c r="P59" s="296">
        <f>(P55+P48+P47+P46+P42+P33+P32)/11.08/29.4*28</f>
        <v>1044.6589602888089</v>
      </c>
      <c r="Q59" s="296">
        <f>(Q55+Q48+Q47+Q46+Q42+Q33+Q32)/11/29.4*28</f>
        <v>0</v>
      </c>
      <c r="R59" s="296"/>
      <c r="S59" s="296" t="e">
        <f>(S55+S48+S47+S46+S42+S33+S32)/11.08/29.4*28</f>
        <v>#DIV/0!</v>
      </c>
      <c r="T59" s="296">
        <f>(T55+T48+T47+T46+T42+T33+T32)/11.08/29.4*28</f>
        <v>35919.29618359979</v>
      </c>
      <c r="U59" s="296" t="e">
        <f>(U55+U48+U47+U46+U42+U33+U32)/11.08/29.4*28</f>
        <v>#DIV/0!</v>
      </c>
      <c r="V59" s="300"/>
      <c r="W59" s="300"/>
      <c r="X59" s="250">
        <v>1.045</v>
      </c>
    </row>
    <row r="60" spans="1:24" s="256" customFormat="1" ht="15.75" hidden="1">
      <c r="A60" s="253"/>
      <c r="B60" s="253"/>
      <c r="C60" s="336"/>
      <c r="D60" s="295"/>
      <c r="E60" s="295"/>
      <c r="F60" s="295"/>
      <c r="G60" s="295"/>
      <c r="H60" s="295"/>
      <c r="I60" s="295"/>
      <c r="J60" s="296"/>
      <c r="K60" s="296"/>
      <c r="L60" s="296"/>
      <c r="M60" s="296"/>
      <c r="N60" s="296"/>
      <c r="O60" s="296"/>
      <c r="P60" s="296"/>
      <c r="Q60" s="296"/>
      <c r="R60" s="296"/>
      <c r="S60" s="296"/>
      <c r="T60" s="296"/>
      <c r="U60" s="296"/>
      <c r="V60" s="300"/>
      <c r="W60" s="300"/>
      <c r="X60" s="250">
        <v>1.045</v>
      </c>
    </row>
    <row r="61" spans="1:24" s="256" customFormat="1" ht="15.75" hidden="1">
      <c r="A61" s="253"/>
      <c r="B61" s="253"/>
      <c r="C61" s="336"/>
      <c r="D61" s="295"/>
      <c r="E61" s="295"/>
      <c r="F61" s="295"/>
      <c r="G61" s="295"/>
      <c r="H61" s="295"/>
      <c r="I61" s="295"/>
      <c r="J61" s="296" t="e">
        <f>J59+J58+#REF!</f>
        <v>#REF!</v>
      </c>
      <c r="K61" s="296" t="e">
        <f>K59+K58+#REF!</f>
        <v>#REF!</v>
      </c>
      <c r="L61" s="296" t="e">
        <f>L59+L58+#REF!</f>
        <v>#REF!</v>
      </c>
      <c r="M61" s="296" t="e">
        <f>M59+M58+#REF!</f>
        <v>#REF!</v>
      </c>
      <c r="N61" s="296"/>
      <c r="O61" s="296" t="e">
        <f>O59+O58+#REF!</f>
        <v>#REF!</v>
      </c>
      <c r="P61" s="296" t="e">
        <f>P59+P58+#REF!</f>
        <v>#REF!</v>
      </c>
      <c r="Q61" s="296"/>
      <c r="R61" s="296"/>
      <c r="S61" s="296" t="e">
        <f>S59+S58+#REF!</f>
        <v>#DIV/0!</v>
      </c>
      <c r="T61" s="296" t="e">
        <f>T59+T58+#REF!</f>
        <v>#REF!</v>
      </c>
      <c r="U61" s="296" t="e">
        <f>U59+U58+#REF!</f>
        <v>#DIV/0!</v>
      </c>
      <c r="V61" s="327" t="e">
        <f>SUM(J61:U61)</f>
        <v>#REF!</v>
      </c>
      <c r="W61" s="300"/>
      <c r="X61" s="250">
        <v>1.045</v>
      </c>
    </row>
    <row r="62" spans="1:24" s="256" customFormat="1" ht="15.75" hidden="1">
      <c r="A62" s="253"/>
      <c r="B62" s="253"/>
      <c r="C62" s="336"/>
      <c r="D62" s="295"/>
      <c r="E62" s="295"/>
      <c r="F62" s="295"/>
      <c r="G62" s="295"/>
      <c r="H62" s="295"/>
      <c r="I62" s="295"/>
      <c r="J62" s="233" t="e">
        <f>J61/12/4121/#REF!</f>
        <v>#REF!</v>
      </c>
      <c r="K62" s="337" t="e">
        <f>(K61+L61+M61+O61+P61)/J61</f>
        <v>#REF!</v>
      </c>
      <c r="L62" s="296"/>
      <c r="M62" s="296"/>
      <c r="N62" s="296"/>
      <c r="O62" s="296"/>
      <c r="P62" s="296">
        <f>87/11</f>
        <v>7.909090909090909</v>
      </c>
      <c r="Q62" s="296"/>
      <c r="R62" s="296"/>
      <c r="S62" s="337" t="e">
        <f>S61/J61</f>
        <v>#DIV/0!</v>
      </c>
      <c r="T62" s="233" t="e">
        <f>T61/J61</f>
        <v>#REF!</v>
      </c>
      <c r="U62" s="337" t="e">
        <f>U61/J61</f>
        <v>#DIV/0!</v>
      </c>
      <c r="V62" s="300"/>
      <c r="W62" s="300"/>
      <c r="X62" s="250">
        <v>1.045</v>
      </c>
    </row>
    <row r="63" spans="1:24" s="256" customFormat="1" ht="15.75" hidden="1">
      <c r="A63" s="253"/>
      <c r="B63" s="253"/>
      <c r="C63" s="336"/>
      <c r="D63" s="295"/>
      <c r="E63" s="295"/>
      <c r="F63" s="295"/>
      <c r="G63" s="295"/>
      <c r="H63" s="295"/>
      <c r="I63" s="295"/>
      <c r="J63" s="296"/>
      <c r="K63" s="296"/>
      <c r="L63" s="296"/>
      <c r="M63" s="296"/>
      <c r="N63" s="296"/>
      <c r="O63" s="296"/>
      <c r="P63" s="296"/>
      <c r="Q63" s="296"/>
      <c r="R63" s="296"/>
      <c r="S63" s="296"/>
      <c r="T63" s="296"/>
      <c r="U63" s="296"/>
      <c r="V63" s="300"/>
      <c r="W63" s="300"/>
      <c r="X63" s="250">
        <v>1.045</v>
      </c>
    </row>
    <row r="64" spans="1:24" s="256" customFormat="1" ht="15.75" hidden="1">
      <c r="A64" s="253"/>
      <c r="B64" s="253"/>
      <c r="C64" s="336"/>
      <c r="D64" s="295"/>
      <c r="E64" s="295"/>
      <c r="F64" s="295"/>
      <c r="G64" s="295"/>
      <c r="H64" s="295"/>
      <c r="I64" s="295"/>
      <c r="J64" s="296"/>
      <c r="K64" s="296"/>
      <c r="L64" s="296"/>
      <c r="M64" s="296"/>
      <c r="N64" s="296"/>
      <c r="O64" s="296"/>
      <c r="P64" s="296"/>
      <c r="Q64" s="296"/>
      <c r="R64" s="296"/>
      <c r="S64" s="296"/>
      <c r="T64" s="296"/>
      <c r="U64" s="296"/>
      <c r="V64" s="300" t="e">
        <f>V61-#REF!</f>
        <v>#REF!</v>
      </c>
      <c r="W64" s="300"/>
      <c r="X64" s="250">
        <v>1.045</v>
      </c>
    </row>
    <row r="65" spans="1:24" s="256" customFormat="1" ht="15.75" hidden="1">
      <c r="A65" s="253"/>
      <c r="B65" s="253"/>
      <c r="C65" s="336"/>
      <c r="D65" s="295"/>
      <c r="E65" s="295"/>
      <c r="F65" s="295"/>
      <c r="G65" s="295"/>
      <c r="H65" s="295"/>
      <c r="I65" s="295"/>
      <c r="J65" s="296"/>
      <c r="K65" s="296"/>
      <c r="L65" s="296"/>
      <c r="M65" s="296"/>
      <c r="N65" s="296"/>
      <c r="O65" s="296"/>
      <c r="P65" s="296"/>
      <c r="Q65" s="296"/>
      <c r="R65" s="296"/>
      <c r="S65" s="296"/>
      <c r="T65" s="296"/>
      <c r="U65" s="296"/>
      <c r="V65" s="300"/>
      <c r="W65" s="300"/>
      <c r="X65" s="250">
        <v>1.045</v>
      </c>
    </row>
    <row r="66" spans="1:24" s="256" customFormat="1" ht="15.75" hidden="1">
      <c r="A66" s="253"/>
      <c r="B66" s="253"/>
      <c r="C66" s="336"/>
      <c r="D66" s="295"/>
      <c r="E66" s="295"/>
      <c r="F66" s="295"/>
      <c r="G66" s="295"/>
      <c r="H66" s="295"/>
      <c r="I66" s="295"/>
      <c r="J66" s="296"/>
      <c r="K66" s="296"/>
      <c r="L66" s="296"/>
      <c r="M66" s="296"/>
      <c r="N66" s="296"/>
      <c r="O66" s="296"/>
      <c r="P66" s="296"/>
      <c r="Q66" s="296"/>
      <c r="R66" s="296"/>
      <c r="S66" s="296"/>
      <c r="T66" s="296"/>
      <c r="U66" s="296"/>
      <c r="V66" s="300"/>
      <c r="W66" s="300"/>
      <c r="X66" s="250">
        <v>1.045</v>
      </c>
    </row>
    <row r="67" spans="1:24" s="256" customFormat="1" ht="15.75" hidden="1">
      <c r="A67" s="253"/>
      <c r="B67" s="253"/>
      <c r="C67" s="336"/>
      <c r="D67" s="295"/>
      <c r="E67" s="295"/>
      <c r="F67" s="295"/>
      <c r="G67" s="295"/>
      <c r="H67" s="295"/>
      <c r="I67" s="295"/>
      <c r="J67" s="296"/>
      <c r="K67" s="296"/>
      <c r="L67" s="296"/>
      <c r="M67" s="296"/>
      <c r="N67" s="296"/>
      <c r="O67" s="296"/>
      <c r="P67" s="296"/>
      <c r="Q67" s="296"/>
      <c r="R67" s="296"/>
      <c r="S67" s="296"/>
      <c r="T67" s="296"/>
      <c r="U67" s="296"/>
      <c r="V67" s="300"/>
      <c r="W67" s="300"/>
      <c r="X67" s="250">
        <v>1.045</v>
      </c>
    </row>
    <row r="68" spans="1:24" s="256" customFormat="1" ht="15.75" hidden="1">
      <c r="A68" s="253"/>
      <c r="B68" s="253"/>
      <c r="C68" s="336"/>
      <c r="D68" s="295"/>
      <c r="E68" s="295"/>
      <c r="F68" s="295"/>
      <c r="G68" s="295"/>
      <c r="H68" s="295"/>
      <c r="I68" s="295"/>
      <c r="J68" s="296"/>
      <c r="K68" s="296"/>
      <c r="L68" s="296"/>
      <c r="M68" s="296"/>
      <c r="N68" s="296"/>
      <c r="O68" s="296"/>
      <c r="P68" s="296"/>
      <c r="Q68" s="296"/>
      <c r="R68" s="296"/>
      <c r="S68" s="296"/>
      <c r="T68" s="296"/>
      <c r="U68" s="296"/>
      <c r="V68" s="300"/>
      <c r="W68" s="300"/>
      <c r="X68" s="250">
        <v>1.045</v>
      </c>
    </row>
    <row r="69" spans="1:24" s="256" customFormat="1" ht="16.5" thickBot="1">
      <c r="A69" s="253"/>
      <c r="B69" s="253"/>
      <c r="C69" s="336"/>
      <c r="D69" s="295"/>
      <c r="E69" s="295"/>
      <c r="F69" s="295"/>
      <c r="G69" s="295"/>
      <c r="H69" s="295"/>
      <c r="I69" s="295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50">
        <v>1.045</v>
      </c>
    </row>
    <row r="70" spans="3:24" ht="107.25" customHeight="1" thickBot="1">
      <c r="C70" s="1828" t="s">
        <v>991</v>
      </c>
      <c r="D70" s="183" t="s">
        <v>190</v>
      </c>
      <c r="E70" s="184" t="s">
        <v>191</v>
      </c>
      <c r="F70" s="184" t="s">
        <v>192</v>
      </c>
      <c r="G70" s="183" t="s">
        <v>193</v>
      </c>
      <c r="H70" s="183" t="s">
        <v>194</v>
      </c>
      <c r="I70" s="183" t="s">
        <v>1261</v>
      </c>
      <c r="J70" s="183" t="s">
        <v>1262</v>
      </c>
      <c r="K70" s="183" t="s">
        <v>1263</v>
      </c>
      <c r="L70" s="272" t="s">
        <v>928</v>
      </c>
      <c r="M70" s="183" t="s">
        <v>1043</v>
      </c>
      <c r="N70" s="183" t="s">
        <v>929</v>
      </c>
      <c r="O70" s="183" t="s">
        <v>929</v>
      </c>
      <c r="P70" s="183" t="s">
        <v>1266</v>
      </c>
      <c r="Q70" s="184" t="s">
        <v>897</v>
      </c>
      <c r="R70" s="184" t="s">
        <v>898</v>
      </c>
      <c r="S70" s="184" t="s">
        <v>899</v>
      </c>
      <c r="T70" s="183" t="s">
        <v>900</v>
      </c>
      <c r="U70" s="184" t="s">
        <v>931</v>
      </c>
      <c r="V70" s="185" t="s">
        <v>902</v>
      </c>
      <c r="W70" s="186" t="s">
        <v>903</v>
      </c>
      <c r="X70" s="250">
        <v>1.045</v>
      </c>
    </row>
    <row r="71" spans="3:24" ht="15.75">
      <c r="C71" s="1828"/>
      <c r="D71" s="189" t="s">
        <v>992</v>
      </c>
      <c r="E71" s="190"/>
      <c r="F71" s="190"/>
      <c r="G71" s="191"/>
      <c r="H71" s="338"/>
      <c r="I71" s="199"/>
      <c r="J71" s="193"/>
      <c r="K71" s="193"/>
      <c r="L71" s="339"/>
      <c r="M71" s="339"/>
      <c r="N71" s="339"/>
      <c r="O71" s="339"/>
      <c r="P71" s="339"/>
      <c r="Q71" s="339"/>
      <c r="R71" s="339"/>
      <c r="S71" s="339"/>
      <c r="T71" s="339"/>
      <c r="U71" s="339"/>
      <c r="V71" s="340"/>
      <c r="W71" s="341"/>
      <c r="X71" s="250">
        <v>1.045</v>
      </c>
    </row>
    <row r="72" spans="3:24" ht="15.75">
      <c r="C72" s="1828"/>
      <c r="D72" s="197" t="s">
        <v>993</v>
      </c>
      <c r="E72" s="190">
        <v>8</v>
      </c>
      <c r="F72" s="190">
        <v>2.71</v>
      </c>
      <c r="G72" s="191">
        <v>1</v>
      </c>
      <c r="H72" s="198">
        <f aca="true" t="shared" si="14" ref="H72:H79">G$3*F72*X72</f>
        <v>13978.505199999998</v>
      </c>
      <c r="I72" s="323">
        <v>11</v>
      </c>
      <c r="J72" s="198">
        <f>I72*H72*G72</f>
        <v>153763.55719999998</v>
      </c>
      <c r="K72" s="198"/>
      <c r="L72" s="198"/>
      <c r="M72" s="209"/>
      <c r="N72" s="209"/>
      <c r="O72" s="198"/>
      <c r="P72" s="201"/>
      <c r="Q72" s="201"/>
      <c r="R72" s="201">
        <f>(J72+K72+L72+M72+P72+S72+T72+U72)/11/29.4*28</f>
        <v>24628.794876190477</v>
      </c>
      <c r="S72" s="201">
        <f>J72*0.1</f>
        <v>15376.35572</v>
      </c>
      <c r="T72" s="198">
        <f aca="true" t="shared" si="15" ref="T72:T78">J72*0.75</f>
        <v>115322.66789999999</v>
      </c>
      <c r="U72" s="198">
        <v>0</v>
      </c>
      <c r="V72" s="202">
        <f aca="true" t="shared" si="16" ref="V72:V78">SUM(J72:U72)</f>
        <v>309091.37569619046</v>
      </c>
      <c r="W72" s="203">
        <f aca="true" t="shared" si="17" ref="W72:W78">V72/12/G72</f>
        <v>25757.614641349206</v>
      </c>
      <c r="X72" s="250">
        <v>1.045</v>
      </c>
    </row>
    <row r="73" spans="3:24" ht="15.75">
      <c r="C73" s="1828"/>
      <c r="D73" s="197" t="s">
        <v>994</v>
      </c>
      <c r="E73" s="190">
        <v>5</v>
      </c>
      <c r="F73" s="190">
        <v>1.74</v>
      </c>
      <c r="G73" s="191">
        <v>4</v>
      </c>
      <c r="H73" s="198">
        <f t="shared" si="14"/>
        <v>8975.128799999999</v>
      </c>
      <c r="I73" s="323">
        <v>11</v>
      </c>
      <c r="J73" s="198">
        <f>I73*H73*G73</f>
        <v>394905.6671999999</v>
      </c>
      <c r="K73" s="198">
        <f>(J73/G73*0.2*2*1.75)+(J73/G73*0.15*1*1.75)</f>
        <v>95024.17616999998</v>
      </c>
      <c r="L73" s="198"/>
      <c r="M73" s="209"/>
      <c r="N73" s="209"/>
      <c r="O73" s="198"/>
      <c r="P73" s="201"/>
      <c r="Q73" s="201">
        <f>R73/28*7</f>
        <v>18118.31866755952</v>
      </c>
      <c r="R73" s="198">
        <f>(J73+K73+L73+M73+P73+S73+T73+U73)/(330*12/365)/29.4*28</f>
        <v>72473.27467023808</v>
      </c>
      <c r="S73" s="201">
        <f>J73*0.1</f>
        <v>39490.566719999995</v>
      </c>
      <c r="T73" s="198">
        <f t="shared" si="15"/>
        <v>296179.2503999999</v>
      </c>
      <c r="U73" s="198">
        <v>0</v>
      </c>
      <c r="V73" s="202">
        <f t="shared" si="16"/>
        <v>916191.2538277974</v>
      </c>
      <c r="W73" s="203">
        <f t="shared" si="17"/>
        <v>19087.31778807911</v>
      </c>
      <c r="X73" s="250">
        <v>1.045</v>
      </c>
    </row>
    <row r="74" spans="3:24" ht="15.75">
      <c r="C74" s="1828"/>
      <c r="D74" s="197" t="s">
        <v>994</v>
      </c>
      <c r="E74" s="190">
        <v>5</v>
      </c>
      <c r="F74" s="190">
        <v>1.84</v>
      </c>
      <c r="G74" s="191">
        <v>2</v>
      </c>
      <c r="H74" s="198">
        <f t="shared" si="14"/>
        <v>9490.940799999998</v>
      </c>
      <c r="I74" s="323">
        <v>11</v>
      </c>
      <c r="J74" s="198">
        <f>I74*H74*G74</f>
        <v>208800.69759999996</v>
      </c>
      <c r="K74" s="198">
        <f>(J74/G74*0.15*1*1.75)+(J74/G74*0.2*1*1.75)</f>
        <v>63945.213639999994</v>
      </c>
      <c r="L74" s="307"/>
      <c r="M74" s="307"/>
      <c r="N74" s="307"/>
      <c r="O74" s="198"/>
      <c r="P74" s="201"/>
      <c r="Q74" s="201">
        <f>R74/28*14</f>
        <v>20189.281295518205</v>
      </c>
      <c r="R74" s="198">
        <f>(J74+K74+L74+M74+P74+S74+T74+U74)/(323*12/365)/29.4*28</f>
        <v>40378.56259103641</v>
      </c>
      <c r="S74" s="201">
        <f>J74*0.1</f>
        <v>20880.06976</v>
      </c>
      <c r="T74" s="198">
        <f t="shared" si="15"/>
        <v>156600.52319999997</v>
      </c>
      <c r="U74" s="198">
        <v>0</v>
      </c>
      <c r="V74" s="202">
        <f t="shared" si="16"/>
        <v>510794.34808655456</v>
      </c>
      <c r="W74" s="203">
        <f t="shared" si="17"/>
        <v>21283.097836939774</v>
      </c>
      <c r="X74" s="250">
        <v>1.045</v>
      </c>
    </row>
    <row r="75" spans="3:24" ht="15.75">
      <c r="C75" s="1828"/>
      <c r="D75" s="308" t="s">
        <v>994</v>
      </c>
      <c r="E75" s="191">
        <v>5</v>
      </c>
      <c r="F75" s="191">
        <v>1.94</v>
      </c>
      <c r="G75" s="191">
        <v>1</v>
      </c>
      <c r="H75" s="198">
        <f t="shared" si="14"/>
        <v>10006.7528</v>
      </c>
      <c r="I75" s="323">
        <v>11</v>
      </c>
      <c r="J75" s="198">
        <f>I75*H75*G75</f>
        <v>110074.28080000001</v>
      </c>
      <c r="K75" s="208">
        <f>J75/G75*0.2*1.75</f>
        <v>38525.99828000001</v>
      </c>
      <c r="L75" s="342"/>
      <c r="M75" s="342"/>
      <c r="N75" s="342"/>
      <c r="O75" s="208"/>
      <c r="P75" s="306"/>
      <c r="Q75" s="306">
        <f>R75/28*14</f>
        <v>10612.41238608777</v>
      </c>
      <c r="R75" s="208">
        <f>(J75+K75+L75+M75+P75+S75+T75+U75)/(323*12/365)/29.4*28</f>
        <v>21224.82477217554</v>
      </c>
      <c r="S75" s="306">
        <f>J75/G75*0.05*1</f>
        <v>5503.714040000001</v>
      </c>
      <c r="T75" s="208">
        <f t="shared" si="15"/>
        <v>82555.7106</v>
      </c>
      <c r="U75" s="198">
        <v>0</v>
      </c>
      <c r="V75" s="343">
        <f t="shared" si="16"/>
        <v>268496.9408782633</v>
      </c>
      <c r="W75" s="344">
        <f t="shared" si="17"/>
        <v>22374.74507318861</v>
      </c>
      <c r="X75" s="250">
        <v>1.045</v>
      </c>
    </row>
    <row r="76" spans="3:24" ht="30.75" customHeight="1">
      <c r="C76" s="1828"/>
      <c r="D76" s="345" t="s">
        <v>1044</v>
      </c>
      <c r="E76" s="346">
        <v>5</v>
      </c>
      <c r="F76" s="346">
        <v>1.94</v>
      </c>
      <c r="G76" s="346">
        <v>1</v>
      </c>
      <c r="H76" s="347">
        <f t="shared" si="14"/>
        <v>10006.7528</v>
      </c>
      <c r="I76" s="348">
        <v>11</v>
      </c>
      <c r="J76" s="347">
        <f>I76*H76*G76</f>
        <v>110074.28080000001</v>
      </c>
      <c r="K76" s="347"/>
      <c r="L76" s="347"/>
      <c r="M76" s="349"/>
      <c r="N76" s="349"/>
      <c r="O76" s="347"/>
      <c r="P76" s="350"/>
      <c r="Q76" s="350">
        <f>R76/28*14</f>
        <v>9131.610657796453</v>
      </c>
      <c r="R76" s="347">
        <f>(J76+K76+L76+M76+P76+S76+T76+U76)/(323*12/365)/29.4*28</f>
        <v>18263.221315592906</v>
      </c>
      <c r="S76" s="350">
        <f>J76/G76*0.1*1</f>
        <v>11007.428080000002</v>
      </c>
      <c r="T76" s="347">
        <f t="shared" si="15"/>
        <v>82555.7106</v>
      </c>
      <c r="U76" s="347">
        <v>0</v>
      </c>
      <c r="V76" s="351">
        <f t="shared" si="16"/>
        <v>231032.2514533894</v>
      </c>
      <c r="W76" s="347">
        <f t="shared" si="17"/>
        <v>19252.687621115783</v>
      </c>
      <c r="X76" s="250">
        <v>1.045</v>
      </c>
    </row>
    <row r="77" spans="3:24" ht="15.75">
      <c r="C77" s="1828"/>
      <c r="D77" s="197" t="s">
        <v>995</v>
      </c>
      <c r="E77" s="190">
        <v>9</v>
      </c>
      <c r="F77" s="190">
        <v>3.02</v>
      </c>
      <c r="G77" s="191">
        <v>2</v>
      </c>
      <c r="H77" s="198">
        <f t="shared" si="14"/>
        <v>15577.522399999998</v>
      </c>
      <c r="I77" s="323">
        <v>11</v>
      </c>
      <c r="J77" s="198">
        <f>I77*H77</f>
        <v>171352.74639999997</v>
      </c>
      <c r="K77" s="198"/>
      <c r="L77" s="201"/>
      <c r="M77" s="201"/>
      <c r="N77" s="201"/>
      <c r="O77" s="201"/>
      <c r="P77" s="201">
        <f>J77*0.04*1.75</f>
        <v>11994.692248</v>
      </c>
      <c r="Q77" s="201">
        <f>R77/28*14</f>
        <v>14753.059692997198</v>
      </c>
      <c r="R77" s="198">
        <f>(J77+K77+L77+M77+P77+S77+T77+U77)/(323*12/365)/29.4*28</f>
        <v>29506.119385994396</v>
      </c>
      <c r="S77" s="201">
        <f>J77*0.1</f>
        <v>17135.27464</v>
      </c>
      <c r="T77" s="198">
        <f t="shared" si="15"/>
        <v>128514.55979999999</v>
      </c>
      <c r="U77" s="198">
        <v>0</v>
      </c>
      <c r="V77" s="202">
        <f t="shared" si="16"/>
        <v>373256.45216699154</v>
      </c>
      <c r="W77" s="203">
        <f t="shared" si="17"/>
        <v>15552.352173624648</v>
      </c>
      <c r="X77" s="250">
        <v>1.045</v>
      </c>
    </row>
    <row r="78" spans="3:24" ht="15.75">
      <c r="C78" s="1828"/>
      <c r="D78" s="197" t="s">
        <v>995</v>
      </c>
      <c r="E78" s="190">
        <v>9</v>
      </c>
      <c r="F78" s="190">
        <v>2.86</v>
      </c>
      <c r="G78" s="191">
        <v>1</v>
      </c>
      <c r="H78" s="198">
        <f t="shared" si="14"/>
        <v>14752.223199999999</v>
      </c>
      <c r="I78" s="323">
        <v>11</v>
      </c>
      <c r="J78" s="198">
        <f>I78*H78</f>
        <v>162274.4552</v>
      </c>
      <c r="K78" s="198"/>
      <c r="L78" s="201"/>
      <c r="M78" s="201"/>
      <c r="N78" s="201"/>
      <c r="O78" s="201"/>
      <c r="P78" s="201">
        <f>J78*0.04*1.75</f>
        <v>11359.211864</v>
      </c>
      <c r="Q78" s="201">
        <f>R78/28*14</f>
        <v>13607.601036507936</v>
      </c>
      <c r="R78" s="198">
        <f>(J78+K78+L78+M78+P78+S78+T78+U78)/(323*12/365)/29.4*28</f>
        <v>27215.202073015873</v>
      </c>
      <c r="S78" s="201">
        <f>J78*0.05</f>
        <v>8113.722760000001</v>
      </c>
      <c r="T78" s="198">
        <f t="shared" si="15"/>
        <v>121705.8414</v>
      </c>
      <c r="U78" s="198">
        <v>0</v>
      </c>
      <c r="V78" s="202">
        <f t="shared" si="16"/>
        <v>344276.0343335238</v>
      </c>
      <c r="W78" s="203">
        <f t="shared" si="17"/>
        <v>28689.669527793652</v>
      </c>
      <c r="X78" s="250">
        <v>1.045</v>
      </c>
    </row>
    <row r="79" spans="3:24" ht="15.75">
      <c r="C79" s="1828"/>
      <c r="D79" s="197" t="s">
        <v>996</v>
      </c>
      <c r="E79" s="190">
        <v>3</v>
      </c>
      <c r="F79" s="190">
        <v>1.25</v>
      </c>
      <c r="G79" s="330"/>
      <c r="H79" s="198">
        <f t="shared" si="14"/>
        <v>6447.65</v>
      </c>
      <c r="I79" s="323">
        <v>0</v>
      </c>
      <c r="J79" s="198">
        <f>I79*H79</f>
        <v>0</v>
      </c>
      <c r="K79" s="198"/>
      <c r="L79" s="201"/>
      <c r="M79" s="201"/>
      <c r="N79" s="201"/>
      <c r="O79" s="201"/>
      <c r="P79" s="201"/>
      <c r="Q79" s="201"/>
      <c r="R79" s="198"/>
      <c r="S79" s="201"/>
      <c r="T79" s="198"/>
      <c r="U79" s="198">
        <f>(J79+T79+K79+L79+M79+P79)*0.108</f>
        <v>0</v>
      </c>
      <c r="V79" s="202"/>
      <c r="W79" s="203"/>
      <c r="X79" s="250">
        <v>1.045</v>
      </c>
    </row>
    <row r="80" spans="3:24" s="275" customFormat="1" ht="16.5" thickBot="1">
      <c r="C80" s="1828"/>
      <c r="D80" s="276" t="s">
        <v>936</v>
      </c>
      <c r="E80" s="277"/>
      <c r="F80" s="277"/>
      <c r="G80" s="278">
        <f>SUM(G72:G79)</f>
        <v>12</v>
      </c>
      <c r="H80" s="352"/>
      <c r="I80" s="278">
        <f>SUM(I72:I79)</f>
        <v>77</v>
      </c>
      <c r="J80" s="280">
        <f>SUM(J72:J79)</f>
        <v>1311245.6852</v>
      </c>
      <c r="K80" s="280">
        <f>SUM(K72:K79)</f>
        <v>197495.38808999996</v>
      </c>
      <c r="L80" s="280">
        <f>SUM(L72:L79)</f>
        <v>0</v>
      </c>
      <c r="M80" s="280">
        <f>SUM(M72:M79)</f>
        <v>0</v>
      </c>
      <c r="N80" s="280"/>
      <c r="O80" s="280">
        <f aca="true" t="shared" si="18" ref="O80:U80">SUM(O72:O79)</f>
        <v>0</v>
      </c>
      <c r="P80" s="280">
        <f t="shared" si="18"/>
        <v>23353.904112</v>
      </c>
      <c r="Q80" s="280">
        <f t="shared" si="18"/>
        <v>86412.28373646708</v>
      </c>
      <c r="R80" s="280">
        <f t="shared" si="18"/>
        <v>233689.9996842437</v>
      </c>
      <c r="S80" s="280">
        <f t="shared" si="18"/>
        <v>117507.13172</v>
      </c>
      <c r="T80" s="280">
        <f t="shared" si="18"/>
        <v>983434.2638999999</v>
      </c>
      <c r="U80" s="280">
        <f t="shared" si="18"/>
        <v>0</v>
      </c>
      <c r="V80" s="202">
        <f>SUM(J80:U80)</f>
        <v>2953138.6564427107</v>
      </c>
      <c r="W80" s="203">
        <f>V80/12/G80</f>
        <v>20507.907336407712</v>
      </c>
      <c r="X80" s="250">
        <v>1.045</v>
      </c>
    </row>
    <row r="81" spans="3:24" s="275" customFormat="1" ht="16.5" hidden="1" thickBot="1">
      <c r="C81" s="1828"/>
      <c r="D81" s="276"/>
      <c r="E81" s="277"/>
      <c r="F81" s="277"/>
      <c r="G81" s="278"/>
      <c r="H81" s="353"/>
      <c r="I81" s="353"/>
      <c r="J81" s="305"/>
      <c r="K81" s="305"/>
      <c r="L81" s="305"/>
      <c r="M81" s="305"/>
      <c r="N81" s="305"/>
      <c r="O81" s="305"/>
      <c r="P81" s="305"/>
      <c r="Q81" s="305"/>
      <c r="R81" s="305"/>
      <c r="S81" s="305"/>
      <c r="T81" s="305"/>
      <c r="U81" s="305"/>
      <c r="V81" s="280"/>
      <c r="W81" s="354"/>
      <c r="X81" s="250">
        <v>1.045</v>
      </c>
    </row>
    <row r="82" spans="3:24" s="275" customFormat="1" ht="16.5" hidden="1" thickBot="1">
      <c r="C82" s="1828"/>
      <c r="D82" s="276"/>
      <c r="E82" s="277"/>
      <c r="F82" s="277"/>
      <c r="G82" s="278"/>
      <c r="H82" s="353"/>
      <c r="I82" s="353"/>
      <c r="J82" s="305">
        <f>(J72+J79)/11/29.4*28</f>
        <v>13312.862095238093</v>
      </c>
      <c r="K82" s="305">
        <f>(K72+K79)/11/29.4*28</f>
        <v>0</v>
      </c>
      <c r="L82" s="305">
        <f>(L72+L79)/11/29.4*28</f>
        <v>0</v>
      </c>
      <c r="M82" s="305">
        <f>(M72+M79)/11/29.4*28</f>
        <v>0</v>
      </c>
      <c r="N82" s="305"/>
      <c r="O82" s="305">
        <f>(O72+O79)/11/29.4*28</f>
        <v>0</v>
      </c>
      <c r="P82" s="305">
        <f>(P72+P79)/11/29.4*28</f>
        <v>0</v>
      </c>
      <c r="Q82" s="305"/>
      <c r="R82" s="305"/>
      <c r="S82" s="305">
        <f>(S72+S79)/11/29.4*28</f>
        <v>1331.2862095238097</v>
      </c>
      <c r="T82" s="305">
        <f>(T72+T79)/11/29.4*28</f>
        <v>9984.64657142857</v>
      </c>
      <c r="U82" s="305">
        <f>(U72+U79)/11/29.4*28</f>
        <v>0</v>
      </c>
      <c r="V82" s="280"/>
      <c r="W82" s="354"/>
      <c r="X82" s="250">
        <v>1.045</v>
      </c>
    </row>
    <row r="83" spans="3:24" s="275" customFormat="1" ht="16.5" hidden="1" thickBot="1">
      <c r="C83" s="1828"/>
      <c r="D83" s="276"/>
      <c r="E83" s="277"/>
      <c r="F83" s="277"/>
      <c r="G83" s="278"/>
      <c r="H83" s="353"/>
      <c r="I83" s="353"/>
      <c r="J83" s="305"/>
      <c r="K83" s="305"/>
      <c r="L83" s="305"/>
      <c r="M83" s="305"/>
      <c r="N83" s="305"/>
      <c r="O83" s="305"/>
      <c r="P83" s="305"/>
      <c r="Q83" s="305"/>
      <c r="R83" s="305"/>
      <c r="S83" s="305"/>
      <c r="T83" s="305"/>
      <c r="U83" s="305"/>
      <c r="V83" s="280"/>
      <c r="W83" s="354"/>
      <c r="X83" s="250">
        <v>1.045</v>
      </c>
    </row>
    <row r="84" spans="3:24" s="275" customFormat="1" ht="16.5" hidden="1" thickBot="1">
      <c r="C84" s="1828"/>
      <c r="D84" s="276"/>
      <c r="E84" s="277"/>
      <c r="F84" s="277"/>
      <c r="G84" s="278"/>
      <c r="H84" s="353"/>
      <c r="I84" s="353"/>
      <c r="J84" s="305">
        <f>(J73+J74+J75+J77+J78)/10.6/29.4*42</f>
        <v>141160.08722371966</v>
      </c>
      <c r="K84" s="305">
        <f>(K73+K74+K75+K77+K78)/10.6/29.4*42</f>
        <v>26616.629122641505</v>
      </c>
      <c r="L84" s="305">
        <f>(L73+L74+L75+L77+L78)/10.6/29.4*42</f>
        <v>0</v>
      </c>
      <c r="M84" s="305">
        <f>(M73+M74+M75+M77+M78)/10.6/29.4*42</f>
        <v>0</v>
      </c>
      <c r="N84" s="305"/>
      <c r="O84" s="305">
        <f>(O73+O74+O75+O77+O78)/10.6/29.4*42</f>
        <v>0</v>
      </c>
      <c r="P84" s="305">
        <f>(P73+P74+P75+P77+P78)/10.6/29.4*42</f>
        <v>3147.42643018868</v>
      </c>
      <c r="Q84" s="305"/>
      <c r="R84" s="305"/>
      <c r="S84" s="305">
        <f>(S73+S74+S75+S77+S78)/10.6/29.4*42</f>
        <v>12280.774652291106</v>
      </c>
      <c r="T84" s="305">
        <f>(T73+T74+T75+T77+T78)/10.6/29.4*42</f>
        <v>105870.06541778974</v>
      </c>
      <c r="U84" s="305">
        <f>(U73+U74+U75+U77+U78)/10.6/29.4*42</f>
        <v>0</v>
      </c>
      <c r="V84" s="202">
        <f>SUM(J84:U84)</f>
        <v>289074.9828466307</v>
      </c>
      <c r="W84" s="354"/>
      <c r="X84" s="250">
        <v>1.045</v>
      </c>
    </row>
    <row r="85" spans="3:24" s="275" customFormat="1" ht="16.5" hidden="1" thickBot="1">
      <c r="C85" s="1828"/>
      <c r="D85" s="276"/>
      <c r="E85" s="277"/>
      <c r="F85" s="277"/>
      <c r="G85" s="278"/>
      <c r="H85" s="353"/>
      <c r="I85" s="353"/>
      <c r="J85" s="305">
        <f>J84+J83+J82+J80</f>
        <v>1465718.6345189577</v>
      </c>
      <c r="K85" s="305">
        <f>K84+K83+K82+K80</f>
        <v>224112.01721264148</v>
      </c>
      <c r="L85" s="305">
        <f>L84+L83+L82+L80</f>
        <v>0</v>
      </c>
      <c r="M85" s="305">
        <f>M84+M83+M82+M80</f>
        <v>0</v>
      </c>
      <c r="N85" s="305"/>
      <c r="O85" s="305">
        <f>O84+O83+O82+O80</f>
        <v>0</v>
      </c>
      <c r="P85" s="305">
        <f>P84+P83+P82+P80</f>
        <v>26501.33054218868</v>
      </c>
      <c r="Q85" s="305"/>
      <c r="R85" s="305"/>
      <c r="S85" s="305">
        <f>S84+S83+S82+S80</f>
        <v>131119.19258181492</v>
      </c>
      <c r="T85" s="305">
        <f>T84+T83+T82+T80</f>
        <v>1099288.9758892183</v>
      </c>
      <c r="U85" s="305">
        <f>U84+U83+U82+U80</f>
        <v>0</v>
      </c>
      <c r="V85" s="202">
        <f>SUM(J85:U85)</f>
        <v>2946740.150744821</v>
      </c>
      <c r="W85" s="354"/>
      <c r="X85" s="250">
        <v>1.045</v>
      </c>
    </row>
    <row r="86" spans="3:24" s="275" customFormat="1" ht="16.5" hidden="1" thickBot="1">
      <c r="C86" s="1828"/>
      <c r="D86" s="276"/>
      <c r="E86" s="277"/>
      <c r="F86" s="277"/>
      <c r="G86" s="278"/>
      <c r="H86" s="353"/>
      <c r="I86" s="353"/>
      <c r="J86" s="305">
        <f>J85/4121/12/G80</f>
        <v>2.469934877118144</v>
      </c>
      <c r="K86" s="305">
        <f>(K85+P85)/J85</f>
        <v>0.1709832582138661</v>
      </c>
      <c r="L86" s="305"/>
      <c r="M86" s="305"/>
      <c r="N86" s="305"/>
      <c r="O86" s="305"/>
      <c r="P86" s="305"/>
      <c r="Q86" s="305"/>
      <c r="R86" s="305"/>
      <c r="S86" s="305">
        <f>S85/J85</f>
        <v>0.08945727337692452</v>
      </c>
      <c r="T86" s="305">
        <f>T85/J85</f>
        <v>0.75</v>
      </c>
      <c r="U86" s="305">
        <f>U85/J85</f>
        <v>0</v>
      </c>
      <c r="V86" s="280"/>
      <c r="W86" s="354"/>
      <c r="X86" s="250">
        <v>1.045</v>
      </c>
    </row>
    <row r="87" spans="3:24" ht="16.5" hidden="1" thickBot="1">
      <c r="C87" s="1828"/>
      <c r="D87" s="214"/>
      <c r="E87" s="215"/>
      <c r="F87" s="215"/>
      <c r="G87" s="216"/>
      <c r="H87" s="355"/>
      <c r="I87" s="355"/>
      <c r="J87" s="217"/>
      <c r="K87" s="217"/>
      <c r="L87" s="312"/>
      <c r="M87" s="219"/>
      <c r="N87" s="219"/>
      <c r="O87" s="219"/>
      <c r="P87" s="219"/>
      <c r="Q87" s="219"/>
      <c r="R87" s="217"/>
      <c r="S87" s="219"/>
      <c r="T87" s="219"/>
      <c r="U87" s="219"/>
      <c r="V87" s="220"/>
      <c r="W87" s="221"/>
      <c r="X87" s="250">
        <v>1.045</v>
      </c>
    </row>
    <row r="88" spans="3:24" ht="32.25" thickBot="1">
      <c r="C88" s="1829"/>
      <c r="D88" s="356" t="s">
        <v>649</v>
      </c>
      <c r="E88" s="357"/>
      <c r="F88" s="357"/>
      <c r="G88" s="358">
        <f>G80-G76</f>
        <v>11</v>
      </c>
      <c r="H88" s="359"/>
      <c r="I88" s="359"/>
      <c r="J88" s="360">
        <f>J80-J76</f>
        <v>1201171.4043999999</v>
      </c>
      <c r="K88" s="360">
        <f>K80-K76</f>
        <v>197495.38808999996</v>
      </c>
      <c r="L88" s="361"/>
      <c r="M88" s="361"/>
      <c r="N88" s="361"/>
      <c r="O88" s="361"/>
      <c r="P88" s="362"/>
      <c r="Q88" s="362"/>
      <c r="R88" s="362"/>
      <c r="S88" s="362"/>
      <c r="T88" s="362"/>
      <c r="U88" s="356"/>
      <c r="V88" s="360">
        <f>V80-V76</f>
        <v>2722106.4049893213</v>
      </c>
      <c r="W88" s="363"/>
      <c r="X88" s="250">
        <v>1.045</v>
      </c>
    </row>
    <row r="89" spans="3:24" ht="32.25" thickBot="1">
      <c r="C89" s="1828"/>
      <c r="D89" s="364" t="s">
        <v>485</v>
      </c>
      <c r="E89" s="365"/>
      <c r="F89" s="365"/>
      <c r="G89" s="366"/>
      <c r="H89" s="367"/>
      <c r="I89" s="368"/>
      <c r="J89" s="369"/>
      <c r="K89" s="369"/>
      <c r="L89" s="370"/>
      <c r="M89" s="370"/>
      <c r="N89" s="370"/>
      <c r="O89" s="370"/>
      <c r="P89" s="370"/>
      <c r="Q89" s="370"/>
      <c r="R89" s="369"/>
      <c r="S89" s="370"/>
      <c r="T89" s="370"/>
      <c r="U89" s="370"/>
      <c r="V89" s="371"/>
      <c r="W89" s="372"/>
      <c r="X89" s="250">
        <v>1.045</v>
      </c>
    </row>
    <row r="90" spans="3:24" ht="16.5" thickBot="1">
      <c r="C90" s="1829"/>
      <c r="D90" s="373" t="s">
        <v>650</v>
      </c>
      <c r="E90" s="374">
        <v>10</v>
      </c>
      <c r="F90" s="374">
        <v>3.19</v>
      </c>
      <c r="G90" s="375">
        <v>1</v>
      </c>
      <c r="H90" s="376">
        <f>G$3*F90*X90</f>
        <v>16454.4028</v>
      </c>
      <c r="I90" s="377">
        <v>11</v>
      </c>
      <c r="J90" s="376">
        <f>I90*H90*G90</f>
        <v>180998.4308</v>
      </c>
      <c r="K90" s="376"/>
      <c r="L90" s="378"/>
      <c r="M90" s="379"/>
      <c r="N90" s="379"/>
      <c r="O90" s="379"/>
      <c r="P90" s="376"/>
      <c r="Q90" s="379"/>
      <c r="R90" s="376">
        <f>(J90+K90+L90+M90+P90+S90+T90+U90)/11/29.4*28</f>
        <v>28991.09064761905</v>
      </c>
      <c r="S90" s="380">
        <f>J90*0.1</f>
        <v>18099.843080000002</v>
      </c>
      <c r="T90" s="376">
        <f>J90*0.75</f>
        <v>135748.8231</v>
      </c>
      <c r="U90" s="376">
        <v>0</v>
      </c>
      <c r="V90" s="381">
        <f>SUM(J90:U90)</f>
        <v>363838.187627619</v>
      </c>
      <c r="W90" s="376">
        <f aca="true" t="shared" si="19" ref="W90:W95">V90/12/G90</f>
        <v>30319.84896896825</v>
      </c>
      <c r="X90" s="250">
        <v>1.045</v>
      </c>
    </row>
    <row r="91" spans="3:24" ht="16.5" thickBot="1">
      <c r="C91" s="1829"/>
      <c r="D91" s="373" t="s">
        <v>997</v>
      </c>
      <c r="E91" s="374">
        <v>9</v>
      </c>
      <c r="F91" s="374">
        <v>2.86</v>
      </c>
      <c r="G91" s="375">
        <v>1</v>
      </c>
      <c r="H91" s="376">
        <f>G$3*F91*X91</f>
        <v>14752.223199999999</v>
      </c>
      <c r="I91" s="377">
        <v>11</v>
      </c>
      <c r="J91" s="376">
        <f>I91*H91*G91</f>
        <v>162274.4552</v>
      </c>
      <c r="K91" s="376"/>
      <c r="L91" s="378"/>
      <c r="M91" s="379"/>
      <c r="N91" s="379"/>
      <c r="O91" s="379"/>
      <c r="P91" s="376"/>
      <c r="Q91" s="379"/>
      <c r="R91" s="376">
        <f>(J91+K91+L91+M91+P91+S91+T91+U91)/11/29.4*28</f>
        <v>25992.012304761905</v>
      </c>
      <c r="S91" s="380">
        <f>J91*0.1</f>
        <v>16227.445520000001</v>
      </c>
      <c r="T91" s="376">
        <f>J91*0.75</f>
        <v>121705.8414</v>
      </c>
      <c r="U91" s="376">
        <v>0</v>
      </c>
      <c r="V91" s="381">
        <f>SUM(J91:U91)</f>
        <v>326199.7544247619</v>
      </c>
      <c r="W91" s="376">
        <f t="shared" si="19"/>
        <v>27183.31286873016</v>
      </c>
      <c r="X91" s="250">
        <v>1.045</v>
      </c>
    </row>
    <row r="92" spans="1:24" ht="16.5" thickBot="1">
      <c r="A92" s="211"/>
      <c r="B92" s="212"/>
      <c r="C92" s="1829"/>
      <c r="D92" s="373" t="s">
        <v>998</v>
      </c>
      <c r="E92" s="374">
        <v>4</v>
      </c>
      <c r="F92" s="374">
        <v>1.74</v>
      </c>
      <c r="G92" s="375">
        <v>8</v>
      </c>
      <c r="H92" s="376">
        <f>G$3*F92*X92</f>
        <v>8975.128799999999</v>
      </c>
      <c r="I92" s="377">
        <v>11</v>
      </c>
      <c r="J92" s="376">
        <f>I92*H92*G92</f>
        <v>789811.3343999998</v>
      </c>
      <c r="K92" s="376"/>
      <c r="L92" s="376"/>
      <c r="M92" s="380"/>
      <c r="N92" s="380">
        <f>222*46.26*0.5*G92*X92</f>
        <v>42927.429599999996</v>
      </c>
      <c r="O92" s="380"/>
      <c r="P92" s="380">
        <f>J92*0.04*1.75</f>
        <v>55286.79340799999</v>
      </c>
      <c r="Q92" s="380">
        <f>R92/28*7</f>
        <v>33279.20774095237</v>
      </c>
      <c r="R92" s="376">
        <f>(J92+K92+L92+M92+P92+S92+T92+U92)/(330*12/365)/29.4*28</f>
        <v>133116.83096380948</v>
      </c>
      <c r="S92" s="380">
        <f>J92*0.1</f>
        <v>78981.13343999999</v>
      </c>
      <c r="T92" s="376">
        <f>J92*0.75</f>
        <v>592358.5007999998</v>
      </c>
      <c r="U92" s="376">
        <v>0</v>
      </c>
      <c r="V92" s="381">
        <f>SUM(J92:U92)</f>
        <v>1725761.2303527615</v>
      </c>
      <c r="W92" s="376">
        <f t="shared" si="19"/>
        <v>17976.679482841264</v>
      </c>
      <c r="X92" s="250">
        <v>1.045</v>
      </c>
    </row>
    <row r="93" spans="1:24" ht="16.5" thickBot="1">
      <c r="A93" s="211"/>
      <c r="B93" s="212"/>
      <c r="C93" s="1829"/>
      <c r="D93" s="373" t="s">
        <v>998</v>
      </c>
      <c r="E93" s="374">
        <v>5</v>
      </c>
      <c r="F93" s="374">
        <v>1.94</v>
      </c>
      <c r="G93" s="375">
        <v>2</v>
      </c>
      <c r="H93" s="376">
        <f>G$3*F93*X93</f>
        <v>10006.7528</v>
      </c>
      <c r="I93" s="377">
        <v>11</v>
      </c>
      <c r="J93" s="376">
        <f>I93*H93*G93</f>
        <v>220148.56160000002</v>
      </c>
      <c r="K93" s="376">
        <f>J93*0.2*1.75</f>
        <v>77051.99656000001</v>
      </c>
      <c r="L93" s="376"/>
      <c r="M93" s="380"/>
      <c r="N93" s="380">
        <f>222*46.26*0.5*G93*X93</f>
        <v>10731.857399999999</v>
      </c>
      <c r="O93" s="380"/>
      <c r="P93" s="380">
        <f>J93*0.04*1.75</f>
        <v>15410.399312000003</v>
      </c>
      <c r="Q93" s="380">
        <f>R93/28*7</f>
        <v>10967.056921216932</v>
      </c>
      <c r="R93" s="376">
        <f>(J93+K93+L93+M93+P93+S93+T93+U93)/(330*12/365)/29.4*28</f>
        <v>43868.22768486773</v>
      </c>
      <c r="S93" s="380">
        <f>J93*0.1</f>
        <v>22014.856160000003</v>
      </c>
      <c r="T93" s="376">
        <f>J93*0.75</f>
        <v>165111.4212</v>
      </c>
      <c r="U93" s="376">
        <v>0</v>
      </c>
      <c r="V93" s="381">
        <f>SUM(J93:U93)</f>
        <v>565304.3768380848</v>
      </c>
      <c r="W93" s="376">
        <f t="shared" si="19"/>
        <v>23554.3490349202</v>
      </c>
      <c r="X93" s="250">
        <v>1.045</v>
      </c>
    </row>
    <row r="94" spans="3:23" s="275" customFormat="1" ht="16.5" thickBot="1">
      <c r="C94" s="1829"/>
      <c r="D94" s="382" t="s">
        <v>936</v>
      </c>
      <c r="E94" s="383"/>
      <c r="F94" s="383"/>
      <c r="G94" s="384">
        <f aca="true" t="shared" si="20" ref="G94:T94">SUM(G90:G93)</f>
        <v>12</v>
      </c>
      <c r="H94" s="385">
        <f t="shared" si="20"/>
        <v>50188.5076</v>
      </c>
      <c r="I94" s="384">
        <f t="shared" si="20"/>
        <v>44</v>
      </c>
      <c r="J94" s="385">
        <f t="shared" si="20"/>
        <v>1353232.7819999997</v>
      </c>
      <c r="K94" s="385">
        <f t="shared" si="20"/>
        <v>77051.99656000001</v>
      </c>
      <c r="L94" s="385">
        <f t="shared" si="20"/>
        <v>0</v>
      </c>
      <c r="M94" s="385">
        <f t="shared" si="20"/>
        <v>0</v>
      </c>
      <c r="N94" s="385">
        <f t="shared" si="20"/>
        <v>53659.287</v>
      </c>
      <c r="O94" s="385">
        <f t="shared" si="20"/>
        <v>0</v>
      </c>
      <c r="P94" s="385">
        <f t="shared" si="20"/>
        <v>70697.19271999999</v>
      </c>
      <c r="Q94" s="385">
        <f t="shared" si="20"/>
        <v>44246.2646621693</v>
      </c>
      <c r="R94" s="385">
        <f t="shared" si="20"/>
        <v>231968.16160105815</v>
      </c>
      <c r="S94" s="385">
        <f t="shared" si="20"/>
        <v>135323.2782</v>
      </c>
      <c r="T94" s="385">
        <f t="shared" si="20"/>
        <v>1014924.5864999997</v>
      </c>
      <c r="U94" s="385">
        <v>0</v>
      </c>
      <c r="V94" s="385">
        <f>SUM(J94:U94)</f>
        <v>2981103.549243227</v>
      </c>
      <c r="W94" s="385">
        <f t="shared" si="19"/>
        <v>20702.107980855744</v>
      </c>
    </row>
    <row r="95" spans="3:23" s="256" customFormat="1" ht="39.75" customHeight="1" thickBot="1">
      <c r="C95" s="1828"/>
      <c r="D95" s="356" t="s">
        <v>999</v>
      </c>
      <c r="E95" s="357"/>
      <c r="F95" s="357"/>
      <c r="G95" s="358">
        <f>G94+G88</f>
        <v>23</v>
      </c>
      <c r="H95" s="359"/>
      <c r="I95" s="359"/>
      <c r="J95" s="360">
        <f aca="true" t="shared" si="21" ref="J95:U95">J80+J94</f>
        <v>2664478.4672</v>
      </c>
      <c r="K95" s="360">
        <f t="shared" si="21"/>
        <v>274547.38464999996</v>
      </c>
      <c r="L95" s="361">
        <f t="shared" si="21"/>
        <v>0</v>
      </c>
      <c r="M95" s="361">
        <f t="shared" si="21"/>
        <v>0</v>
      </c>
      <c r="N95" s="361">
        <f t="shared" si="21"/>
        <v>53659.287</v>
      </c>
      <c r="O95" s="361">
        <f t="shared" si="21"/>
        <v>0</v>
      </c>
      <c r="P95" s="362">
        <f t="shared" si="21"/>
        <v>94051.096832</v>
      </c>
      <c r="Q95" s="362">
        <f t="shared" si="21"/>
        <v>130658.54839863638</v>
      </c>
      <c r="R95" s="362">
        <f t="shared" si="21"/>
        <v>465658.16128530185</v>
      </c>
      <c r="S95" s="362">
        <f t="shared" si="21"/>
        <v>252830.40992</v>
      </c>
      <c r="T95" s="362">
        <f t="shared" si="21"/>
        <v>1998358.8503999996</v>
      </c>
      <c r="U95" s="356">
        <f t="shared" si="21"/>
        <v>0</v>
      </c>
      <c r="V95" s="360">
        <f>V88+V94</f>
        <v>5703209.954232548</v>
      </c>
      <c r="W95" s="363">
        <f t="shared" si="19"/>
        <v>20663.804182001986</v>
      </c>
    </row>
    <row r="96" ht="13.5" thickBot="1"/>
    <row r="97" spans="4:23" ht="39.75" customHeight="1" thickBot="1">
      <c r="D97" s="386" t="s">
        <v>651</v>
      </c>
      <c r="E97" s="387"/>
      <c r="F97" s="387"/>
      <c r="G97" s="387">
        <f>G80+G94+G50+G21</f>
        <v>53.5</v>
      </c>
      <c r="H97" s="387"/>
      <c r="I97" s="387"/>
      <c r="J97" s="388"/>
      <c r="K97" s="388"/>
      <c r="L97" s="388"/>
      <c r="M97" s="388"/>
      <c r="N97" s="388"/>
      <c r="O97" s="388"/>
      <c r="P97" s="388"/>
      <c r="Q97" s="388"/>
      <c r="R97" s="388"/>
      <c r="S97" s="388"/>
      <c r="T97" s="388"/>
      <c r="U97" s="388"/>
      <c r="V97" s="388">
        <f>V95+V50+V21</f>
        <v>12819842.45266982</v>
      </c>
      <c r="W97" s="389"/>
    </row>
    <row r="98" spans="4:23" ht="15.75">
      <c r="D98" s="390" t="s">
        <v>146</v>
      </c>
      <c r="E98" s="390"/>
      <c r="F98" s="390"/>
      <c r="G98" s="390"/>
      <c r="H98" s="390"/>
      <c r="I98" s="390"/>
      <c r="J98" s="390"/>
      <c r="K98" s="390"/>
      <c r="L98" s="390"/>
      <c r="M98" s="390"/>
      <c r="N98" s="390"/>
      <c r="O98" s="390"/>
      <c r="P98" s="390"/>
      <c r="Q98" s="390"/>
      <c r="R98" s="390"/>
      <c r="S98" s="390"/>
      <c r="T98" s="390"/>
      <c r="U98" s="390"/>
      <c r="V98" s="390"/>
      <c r="W98" s="390"/>
    </row>
    <row r="99" spans="4:23" ht="15.75">
      <c r="D99" s="391" t="s">
        <v>652</v>
      </c>
      <c r="E99" s="391"/>
      <c r="F99" s="391"/>
      <c r="G99" s="392">
        <f>G21</f>
        <v>14.5</v>
      </c>
      <c r="H99" s="391"/>
      <c r="I99" s="391"/>
      <c r="J99" s="391"/>
      <c r="K99" s="391"/>
      <c r="L99" s="391"/>
      <c r="M99" s="391"/>
      <c r="N99" s="391"/>
      <c r="O99" s="391"/>
      <c r="P99" s="391"/>
      <c r="Q99" s="391"/>
      <c r="R99" s="391"/>
      <c r="S99" s="391"/>
      <c r="T99" s="391"/>
      <c r="U99" s="391"/>
      <c r="V99" s="391">
        <f>V21</f>
        <v>3343018.826447746</v>
      </c>
      <c r="W99" s="391"/>
    </row>
    <row r="100" spans="4:23" ht="19.5" customHeight="1">
      <c r="D100" s="391" t="s">
        <v>653</v>
      </c>
      <c r="E100" s="391"/>
      <c r="F100" s="391"/>
      <c r="G100" s="392">
        <f>G50</f>
        <v>15</v>
      </c>
      <c r="H100" s="391"/>
      <c r="I100" s="391"/>
      <c r="J100" s="391"/>
      <c r="K100" s="391"/>
      <c r="L100" s="391"/>
      <c r="M100" s="391"/>
      <c r="N100" s="391"/>
      <c r="O100" s="391"/>
      <c r="P100" s="391"/>
      <c r="Q100" s="391"/>
      <c r="R100" s="391"/>
      <c r="S100" s="391"/>
      <c r="T100" s="391"/>
      <c r="U100" s="391"/>
      <c r="V100" s="391">
        <f>V50</f>
        <v>3773613.6719895266</v>
      </c>
      <c r="W100" s="391"/>
    </row>
    <row r="101" spans="4:23" ht="47.25">
      <c r="D101" s="391" t="s">
        <v>654</v>
      </c>
      <c r="E101" s="391"/>
      <c r="F101" s="391"/>
      <c r="G101" s="392">
        <f>G94+G88</f>
        <v>23</v>
      </c>
      <c r="H101" s="391"/>
      <c r="I101" s="391"/>
      <c r="J101" s="391"/>
      <c r="K101" s="391"/>
      <c r="L101" s="391"/>
      <c r="M101" s="391"/>
      <c r="N101" s="391"/>
      <c r="O101" s="391"/>
      <c r="P101" s="391"/>
      <c r="Q101" s="391"/>
      <c r="R101" s="391"/>
      <c r="S101" s="391"/>
      <c r="T101" s="391"/>
      <c r="U101" s="391"/>
      <c r="V101" s="391">
        <f>V94+V80-V76</f>
        <v>5703209.954232548</v>
      </c>
      <c r="W101" s="391"/>
    </row>
    <row r="102" spans="7:22" ht="12.75">
      <c r="G102" s="188">
        <f>G101*G104</f>
        <v>10.6031890972143</v>
      </c>
      <c r="V102" s="393">
        <f>V88+V90+V91+V92+V93</f>
        <v>5703209.954232549</v>
      </c>
    </row>
    <row r="103" spans="4:22" ht="31.5">
      <c r="D103" s="1823"/>
      <c r="E103" s="1823"/>
      <c r="F103" s="1823"/>
      <c r="G103" s="1000" t="s">
        <v>925</v>
      </c>
      <c r="H103" s="374" t="s">
        <v>655</v>
      </c>
      <c r="I103" s="374" t="s">
        <v>656</v>
      </c>
      <c r="J103" s="906"/>
      <c r="K103" s="906"/>
      <c r="L103" s="906"/>
      <c r="M103" s="906"/>
      <c r="V103" s="393"/>
    </row>
    <row r="104" spans="4:13" ht="15.75">
      <c r="D104" s="1822" t="s">
        <v>1258</v>
      </c>
      <c r="E104" s="1822"/>
      <c r="F104" s="1822"/>
      <c r="G104" s="1001">
        <f>'ФОТ основных'!V10/'ФОТ цеховые'!J104</f>
        <v>0.461008221618013</v>
      </c>
      <c r="H104" s="1002">
        <f>G99+(G104*G101)</f>
        <v>25.103189097214297</v>
      </c>
      <c r="I104" s="1003">
        <f>V99+(V101*G104)</f>
        <v>5972245.504962642</v>
      </c>
      <c r="J104" s="907">
        <f>'ФОТ основных'!V10+'ФОТ основных'!V30</f>
        <v>7254672.744383475</v>
      </c>
      <c r="K104" s="906"/>
      <c r="L104" s="906">
        <f>V102*G104</f>
        <v>2629226.678514897</v>
      </c>
      <c r="M104" s="907">
        <f>L104+V99</f>
        <v>5972245.504962643</v>
      </c>
    </row>
    <row r="105" spans="4:13" ht="15.75">
      <c r="D105" s="1822" t="s">
        <v>1259</v>
      </c>
      <c r="E105" s="1822"/>
      <c r="F105" s="1822"/>
      <c r="G105" s="1001">
        <f>'ФОТ основных'!V30/'ФОТ цеховые'!J104</f>
        <v>0.538991778381987</v>
      </c>
      <c r="H105" s="1002">
        <f>G100+(G105*G101)</f>
        <v>27.396810902785703</v>
      </c>
      <c r="I105" s="1003">
        <f>V100+(V101*G105)</f>
        <v>6847596.947707178</v>
      </c>
      <c r="J105" s="906"/>
      <c r="K105" s="906"/>
      <c r="L105" s="906">
        <f>V101*G105</f>
        <v>3073983.275717652</v>
      </c>
      <c r="M105" s="907">
        <f>L105+V100</f>
        <v>6847596.947707178</v>
      </c>
    </row>
    <row r="106" spans="4:13" ht="15.75">
      <c r="D106" s="1823"/>
      <c r="E106" s="1823"/>
      <c r="F106" s="1823"/>
      <c r="G106" s="1004">
        <v>1</v>
      </c>
      <c r="H106" s="1005">
        <f>H105+H104</f>
        <v>52.5</v>
      </c>
      <c r="I106" s="1005">
        <f>I105+I104</f>
        <v>12819842.45266982</v>
      </c>
      <c r="J106" s="907">
        <f>V101+V100+V99</f>
        <v>12819842.45266982</v>
      </c>
      <c r="K106" s="908">
        <f>J106-I106</f>
        <v>0</v>
      </c>
      <c r="L106" s="906"/>
      <c r="M106" s="906"/>
    </row>
    <row r="107" spans="3:9" ht="25.5" customHeight="1" hidden="1">
      <c r="C107" s="212"/>
      <c r="I107" s="395">
        <f>V97-I106</f>
        <v>0</v>
      </c>
    </row>
    <row r="108" spans="3:23" ht="54" customHeight="1">
      <c r="C108" s="212"/>
      <c r="D108" s="1821"/>
      <c r="E108" s="1821"/>
      <c r="F108" s="1821"/>
      <c r="G108" s="1821"/>
      <c r="H108" s="1821"/>
      <c r="I108" s="1821"/>
      <c r="J108" s="1821"/>
      <c r="K108" s="1821"/>
      <c r="L108" s="1821"/>
      <c r="M108" s="1821"/>
      <c r="N108" s="1821"/>
      <c r="O108" s="1821"/>
      <c r="P108" s="1821"/>
      <c r="Q108" s="1821"/>
      <c r="R108" s="1821"/>
      <c r="S108" s="1821"/>
      <c r="T108" s="1821"/>
      <c r="U108" s="1821"/>
      <c r="V108" s="1821"/>
      <c r="W108" s="1821"/>
    </row>
    <row r="109" ht="15.75">
      <c r="D109" s="999" t="s">
        <v>948</v>
      </c>
    </row>
    <row r="110" ht="15.75">
      <c r="D110" s="999"/>
    </row>
  </sheetData>
  <sheetProtection selectLockedCells="1" selectUnlockedCells="1"/>
  <mergeCells count="11">
    <mergeCell ref="D104:F104"/>
    <mergeCell ref="D1:W1"/>
    <mergeCell ref="D108:W108"/>
    <mergeCell ref="D105:F105"/>
    <mergeCell ref="D106:F106"/>
    <mergeCell ref="D52:W52"/>
    <mergeCell ref="C2:C21"/>
    <mergeCell ref="C30:C49"/>
    <mergeCell ref="C70:C95"/>
    <mergeCell ref="D51:W51"/>
    <mergeCell ref="D103:F103"/>
  </mergeCells>
  <printOptions horizontalCentered="1"/>
  <pageMargins left="0.5905511811023623" right="0.11811023622047245" top="0.2362204724409449" bottom="0.11811023622047245" header="0.7874015748031497" footer="0.5118110236220472"/>
  <pageSetup horizontalDpi="300" verticalDpi="300" orientation="landscape" paperSize="9" scale="46" r:id="rId3"/>
  <rowBreaks count="1" manualBreakCount="1">
    <brk id="5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FSTN4</cp:lastModifiedBy>
  <cp:lastPrinted>2016-03-18T12:53:31Z</cp:lastPrinted>
  <dcterms:created xsi:type="dcterms:W3CDTF">1996-10-08T23:32:33Z</dcterms:created>
  <dcterms:modified xsi:type="dcterms:W3CDTF">2016-04-04T06:02:05Z</dcterms:modified>
  <cp:category/>
  <cp:version/>
  <cp:contentType/>
  <cp:contentStatus/>
</cp:coreProperties>
</file>